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ekapitulace stavby" sheetId="1" r:id="rId1"/>
    <sheet name="20130822-1 - Rekonstrukce..." sheetId="2" r:id="rId2"/>
  </sheets>
  <definedNames>
    <definedName name="_xlnm.Print_Titles" localSheetId="1">'20130822-1 - Rekonstrukce...'!$112:$112</definedName>
    <definedName name="_xlnm.Print_Titles" localSheetId="0">'Rekapitulace stavby'!$73:$73</definedName>
    <definedName name="_xlnm.Print_Area" localSheetId="1">('20130822-1 - Rekonstrukce...'!$C$4:$Q$59,'20130822-1 - Rekonstrukce...'!$C$65:$Q$96,'20130822-1 - Rekonstrukce...'!$C$102:$Q$306)</definedName>
    <definedName name="_xlnm.Print_Area" localSheetId="0">('Rekapitulace stavby'!$C$4:$AP$58,'Rekapitulace stavby'!$C$64:$AP$80)</definedName>
  </definedNames>
  <calcPr fullCalcOnLoad="1"/>
</workbook>
</file>

<file path=xl/sharedStrings.xml><?xml version="1.0" encoding="utf-8"?>
<sst xmlns="http://schemas.openxmlformats.org/spreadsheetml/2006/main" count="1553" uniqueCount="374">
  <si>
    <t>2012</t>
  </si>
  <si>
    <t>List obsahuje:</t>
  </si>
  <si>
    <t>1) Souhrnný list stavby</t>
  </si>
  <si>
    <t>2) Rekapitulace objektů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</si>
  <si>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</si>
  <si>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</si>
  <si>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</si>
  <si>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</si>
  <si>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</si>
  <si>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</si>
  <si>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</si>
  <si>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</si>
  <si>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</si>
  <si>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</si>
  <si>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Stavba:</t>
  </si>
  <si>
    <t>Rekonstrukce fasády na  I.základní škole v Lovosicích – II.etapa</t>
  </si>
  <si>
    <t>0,1</t>
  </si>
  <si>
    <t>1</t>
  </si>
  <si>
    <t>Místo:</t>
  </si>
  <si>
    <t>Lovosice</t>
  </si>
  <si>
    <t>Datum:</t>
  </si>
  <si>
    <t>25.02.2016</t>
  </si>
  <si>
    <t>10</t>
  </si>
  <si>
    <t>100</t>
  </si>
  <si>
    <t>Objednavatel:</t>
  </si>
  <si>
    <t>IČ:</t>
  </si>
  <si>
    <t>Městský úřad Lovosice</t>
  </si>
  <si>
    <t>DIČ:</t>
  </si>
  <si>
    <t>Zhotovitel:</t>
  </si>
  <si>
    <t xml:space="preserve"> </t>
  </si>
  <si>
    <t>Projektant:</t>
  </si>
  <si>
    <t>Ing.arch.Luboš Hruška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</si>
  <si>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</si>
  <si>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</si>
  <si>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</si>
  <si>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</si>
  <si>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</si>
  <si>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</si>
  <si>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</si>
  <si>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</si>
  <si>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</si>
  <si>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</si>
  <si>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</si>
  <si>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</si>
  <si>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</si>
  <si>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</si>
  <si>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</si>
  <si>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</si>
  <si>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</si>
  <si>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</si>
  <si>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</si>
  <si>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</si>
  <si>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</si>
  <si>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</si>
  <si>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</si>
  <si>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</si>
  <si>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</si>
  <si>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</si>
  <si>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</si>
  <si>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</si>
  <si>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</si>
  <si>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</si>
  <si>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</si>
  <si>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</si>
  <si>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</si>
  <si>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</si>
  <si>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</si>
  <si>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</si>
  <si>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</si>
  <si>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</si>
  <si>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</si>
  <si>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</si>
  <si>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</si>
  <si>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</si>
  <si>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</si>
  <si>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</si>
  <si>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{8C98B39D-0E51-4A33-AC8D-8435C8029305}</t>
  </si>
  <si>
    <t>{00000000-0000-0000-0000-000000000000}</t>
  </si>
  <si>
    <t>/</t>
  </si>
  <si>
    <t>Rekonstrukce fasády</t>
  </si>
  <si>
    <t>{B521795A-E38E-4CC3-ABE1-A154A62F9A48}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</si>
  <si>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</si>
  <si>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</si>
  <si>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</si>
  <si>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</si>
  <si>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</si>
  <si>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</si>
  <si>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</si>
  <si>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</si>
  <si>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</si>
  <si>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</si>
  <si>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Objekt:</t>
  </si>
  <si>
    <t>Rekonstrukce fasády A3, A17, A18, A19 a A20</t>
  </si>
  <si>
    <t>Náklady z rozpočtu</t>
  </si>
  <si>
    <t>Ostatní náklady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</si>
  <si>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</si>
  <si>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</si>
  <si>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</si>
  <si>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</si>
  <si>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</si>
  <si>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</si>
  <si>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</si>
  <si>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</si>
  <si>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</si>
  <si>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</si>
  <si>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</si>
  <si>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742 - Elektromontáže - rozvodný systém</t>
  </si>
  <si>
    <t xml:space="preserve">    743 - Elektromontáže - hrubá montáž</t>
  </si>
  <si>
    <t xml:space="preserve">    748 - Elektromontáže - osvětlovací zařízení a svítidla</t>
  </si>
  <si>
    <t xml:space="preserve">    764 - Konstrukce klempířské</t>
  </si>
  <si>
    <t xml:space="preserve">    767 - Konstrukce zámečnické</t>
  </si>
  <si>
    <t xml:space="preserve">    782 - Dokončovací práce - obklady z kamene</t>
  </si>
  <si>
    <t xml:space="preserve">    783 - Dokončovací práce - nátěry</t>
  </si>
  <si>
    <t>2) Ostatní náklady</t>
  </si>
  <si>
    <t>Zařízení staveniště</t>
  </si>
  <si>
    <t>VRN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</si>
  <si>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</si>
  <si>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</si>
  <si>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</si>
  <si>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</si>
  <si>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</si>
  <si>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</si>
  <si>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</si>
  <si>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</si>
  <si>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</si>
  <si>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</si>
  <si>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</si>
  <si>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</si>
  <si>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</si>
  <si>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</si>
  <si>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</si>
  <si>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</si>
  <si>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349234841</t>
  </si>
  <si>
    <t>Doplnění zdiva podokenních nebo nadokenních říms - dozdění míst po výdechu</t>
  </si>
  <si>
    <t>m</t>
  </si>
  <si>
    <t>4</t>
  </si>
  <si>
    <t>0,3*5</t>
  </si>
  <si>
    <t>VV</t>
  </si>
  <si>
    <t>349235861</t>
  </si>
  <si>
    <t>Hlavní budova -Doplnění plošných fasádních prvků vyložených do 150 mm - oprava soklu</t>
  </si>
  <si>
    <t>m2</t>
  </si>
  <si>
    <t>"A3"110 – psaníčka</t>
  </si>
  <si>
    <t>"A17"12,1</t>
  </si>
  <si>
    <t>"A18"6,5</t>
  </si>
  <si>
    <t>"A19"11,5 – sokl</t>
  </si>
  <si>
    <t>"A19"23,0 – psaníčko</t>
  </si>
  <si>
    <t>"A20"30,2</t>
  </si>
  <si>
    <t>Součet</t>
  </si>
  <si>
    <t>74</t>
  </si>
  <si>
    <t>460270244</t>
  </si>
  <si>
    <t>Zazdívka otvorů cihlami pálenými plochy do 0,09 m2 a tloušťky do 60 cm - výdechy</t>
  </si>
  <si>
    <t>kus</t>
  </si>
  <si>
    <t>64</t>
  </si>
  <si>
    <t>Šambrány - fasádní dekorační prvky
Polystyrenové jádro EPS s finální omítkovou úpravou</t>
  </si>
  <si>
    <t>Montáž šambrány</t>
  </si>
  <si>
    <t>622142001R</t>
  </si>
  <si>
    <t>Potažení vnějších stěn sklovláknitým pletivem vtlačeným do tenkovrstvé hmoty (stěrky)
vtl. 3 mm</t>
  </si>
  <si>
    <t>"A3"209,5+20,3</t>
  </si>
  <si>
    <t>"A17"175+12,1</t>
  </si>
  <si>
    <t>"A18"91,1+6,5</t>
  </si>
  <si>
    <t>"A19"170,6+11,5</t>
  </si>
  <si>
    <t>"A20"425+30,2</t>
  </si>
  <si>
    <t>622325203</t>
  </si>
  <si>
    <t xml:space="preserve">Oprava vápenocementové štukové omítky vnějších stěn v rozsahu do 50%, st. složitosti  4-5 </t>
  </si>
  <si>
    <t>"A3"209,5</t>
  </si>
  <si>
    <t>"A17"175</t>
  </si>
  <si>
    <t>"A18"91,1</t>
  </si>
  <si>
    <t>"A19"170,6</t>
  </si>
  <si>
    <t>"A20"425</t>
  </si>
  <si>
    <t>62261-R</t>
  </si>
  <si>
    <t>Zpevnění povrchu omítek hloubkovým základem - baumit hloubkový základ</t>
  </si>
  <si>
    <t>209,5+20,3+175+12,1+91,1+6,5+170,6+11,5+425+30,2</t>
  </si>
  <si>
    <t>622611132/01</t>
  </si>
  <si>
    <t>Hlavní budova -  hlavní fasáda- Nátěr silikátový dvojnásobný vnějších omítaných stěn vysoce odolný proti usazování nečistot - odstín sv.hnědý  (baumit 3085)</t>
  </si>
  <si>
    <t>622611132/02</t>
  </si>
  <si>
    <t>Hlavní budova  - sokl - Nátěr silikátový dvojnásobný vnějších omítaných stěn vysoce odolný proti usazování nečistot- odstín sv.hnědý(baumit 3085)</t>
  </si>
  <si>
    <t>"A3"20,3</t>
  </si>
  <si>
    <t>"A19"11,5</t>
  </si>
  <si>
    <t>628195001</t>
  </si>
  <si>
    <t>Očištění zdiva nebo betonu zdí a valů před započetím oprav ručně - sokl</t>
  </si>
  <si>
    <t>11</t>
  </si>
  <si>
    <t>629135102</t>
  </si>
  <si>
    <t>Vyrovnávací vrstva pod klempířské prvky z MC š do 300 mm</t>
  </si>
  <si>
    <t>52,8+26,5+23,5+26,3+23,5+25,6+21+12,85+12,85+12,15</t>
  </si>
  <si>
    <t>12</t>
  </si>
  <si>
    <t>629991001</t>
  </si>
  <si>
    <t>Zakrytí podélných ploch fólií volně položenou (např.chodníků)</t>
  </si>
  <si>
    <t>"A20"25,473*3</t>
  </si>
  <si>
    <t>13</t>
  </si>
  <si>
    <t>629991011</t>
  </si>
  <si>
    <t>Zakrytí výplní otvorů a svislých ploch fólií přilepenou lepící páskou</t>
  </si>
  <si>
    <t>OKNA-"A17"23,2</t>
  </si>
  <si>
    <t>OKNA-"A20"80,3</t>
  </si>
  <si>
    <t>14</t>
  </si>
  <si>
    <t>629995101/01</t>
  </si>
  <si>
    <t>Hlavní budova - Očištění vnějších ploch tlakovou vodou</t>
  </si>
  <si>
    <t>"A17"175+12,1+16</t>
  </si>
  <si>
    <t>"A20"425+30,2+15,4</t>
  </si>
  <si>
    <t>Součet"</t>
  </si>
  <si>
    <t>62999902R</t>
  </si>
  <si>
    <t>Příplatek k omítce za provádění fasádních prvků</t>
  </si>
  <si>
    <t>72</t>
  </si>
  <si>
    <t>96600R</t>
  </si>
  <si>
    <t>Odstranění ptačích budek</t>
  </si>
  <si>
    <t>71</t>
  </si>
  <si>
    <t>91421R</t>
  </si>
  <si>
    <t>Montáž ptačích budek</t>
  </si>
  <si>
    <t>16</t>
  </si>
  <si>
    <t>941111122</t>
  </si>
  <si>
    <t>Montáž lešení řadového trubkového lehkého s podlahami zatížení do 200 kg/m2 š do 1,2 m v do 25 m</t>
  </si>
  <si>
    <t>"A3"11,92*17,5</t>
  </si>
  <si>
    <t>"A17"10,34*17,5</t>
  </si>
  <si>
    <t>"A18"4,588*17,5</t>
  </si>
  <si>
    <t>"A19"7,918*17,5</t>
  </si>
  <si>
    <t>"A20"25,473*17,5</t>
  </si>
  <si>
    <t>17</t>
  </si>
  <si>
    <t>941111222</t>
  </si>
  <si>
    <t>Příplatek k lešení řadovému trubkovému lehkému s podlahami š 1,2 m v 25 m za první a ZKD den použití</t>
  </si>
  <si>
    <t>1054,274*60dní</t>
  </si>
  <si>
    <t>1054,274*60</t>
  </si>
  <si>
    <t>18</t>
  </si>
  <si>
    <t>941111822</t>
  </si>
  <si>
    <t>Demontáž lešení řadového trubkového lehkého s podlahami zatížení do 200 kg/m2 š do 1,2 m v do 25 m</t>
  </si>
  <si>
    <t>19</t>
  </si>
  <si>
    <t>944511811</t>
  </si>
  <si>
    <t>Demontáž ochranné sítě z textilie z umělých vláken</t>
  </si>
  <si>
    <t>20</t>
  </si>
  <si>
    <t>944611111</t>
  </si>
  <si>
    <t>Montáž ochranné sítě z textilie z umělých vláken</t>
  </si>
  <si>
    <t>944611211</t>
  </si>
  <si>
    <t>Příplatek k ochranné síti za první a ZKD den použití</t>
  </si>
  <si>
    <t>1050,274*60dní</t>
  </si>
  <si>
    <t>1050,274*60</t>
  </si>
  <si>
    <t>23</t>
  </si>
  <si>
    <t>978015361</t>
  </si>
  <si>
    <t>Otlučení vnějších omítek MV nebo MVC  průčelí v rozsahu do 50 %</t>
  </si>
  <si>
    <t>Otlučení vnějších omítek MV nebo MVC  soklu v rozsahu do 100 % včetně vyškrábnutí spár do hl. 20mm</t>
  </si>
  <si>
    <t>"A3"20,5</t>
  </si>
  <si>
    <t>24</t>
  </si>
  <si>
    <t>985324211</t>
  </si>
  <si>
    <t>Ochranný hydrofobní  nátěr kamenných prvků (např.SIKA Gard)</t>
  </si>
  <si>
    <t>"kamenný obklad"</t>
  </si>
  <si>
    <t>"A20"15,4</t>
  </si>
  <si>
    <t>25</t>
  </si>
  <si>
    <t>997013115</t>
  </si>
  <si>
    <t>Vnitrostaveništní doprava suti a vybouraných hmot pro budovy v do 18 m s použitím mechanizace</t>
  </si>
  <si>
    <t>t</t>
  </si>
  <si>
    <t>26</t>
  </si>
  <si>
    <t>997013501</t>
  </si>
  <si>
    <t>Odvoz suti na skládku a vybouraných hmot nebo meziskládku do 1 km se složením</t>
  </si>
  <si>
    <t>27</t>
  </si>
  <si>
    <t>997013509</t>
  </si>
  <si>
    <t>Příplatek k odvozu suti a vybouraných hmot na skládku ZKD 1 km přes 1 km</t>
  </si>
  <si>
    <t>28</t>
  </si>
  <si>
    <t>997013831</t>
  </si>
  <si>
    <t>Poplatek za uložení stavebního směsného odpadu na skládce (skládkovné)</t>
  </si>
  <si>
    <t>29</t>
  </si>
  <si>
    <t>998021021</t>
  </si>
  <si>
    <t>Přesun hmot pro haly s nosnou kcí zděnou nebo monolitickou v do 20 m</t>
  </si>
  <si>
    <t>30</t>
  </si>
  <si>
    <t>74226R</t>
  </si>
  <si>
    <t>Demontáž  dvířek rozváděčů , montáž a dodávka nových dvířek včetně nátěru</t>
  </si>
  <si>
    <t>kpl</t>
  </si>
  <si>
    <t>31</t>
  </si>
  <si>
    <t>74362R</t>
  </si>
  <si>
    <t>Demontáž, oprava a zpětná montáž hromosvodu</t>
  </si>
  <si>
    <t>32</t>
  </si>
  <si>
    <t>7481392R</t>
  </si>
  <si>
    <t xml:space="preserve">Montáž svítidla venkovního nástěnného </t>
  </si>
  <si>
    <t>33</t>
  </si>
  <si>
    <t>M</t>
  </si>
  <si>
    <t>3482</t>
  </si>
  <si>
    <t>Nástěnné výbojkové svítidlo do exteriéru dle výběru investora</t>
  </si>
  <si>
    <t>36</t>
  </si>
  <si>
    <t>764410240</t>
  </si>
  <si>
    <t>Oplechování parapetů Pz rš 250 mm včetně rohů</t>
  </si>
  <si>
    <t>(1,35*3)</t>
  </si>
  <si>
    <t>37</t>
  </si>
  <si>
    <t>764410250</t>
  </si>
  <si>
    <t>Oplechování parapetů Pz rš 330 mm včetně rohů</t>
  </si>
  <si>
    <t>(1,34*6)+(1,33*1)+(0,92*6)+(1,33*2)+(1,53*9)+(1,35*9)</t>
  </si>
  <si>
    <t>38</t>
  </si>
  <si>
    <t>764410260</t>
  </si>
  <si>
    <t>Oplechování parapetů Pz rš 400 mm včetně rohů</t>
  </si>
  <si>
    <t>1,76*3</t>
  </si>
  <si>
    <t>39</t>
  </si>
  <si>
    <t>764410850</t>
  </si>
  <si>
    <t>Demontáž oplechování parapetu rš do 330 mm</t>
  </si>
  <si>
    <t>4,05+43,47</t>
  </si>
  <si>
    <t>40</t>
  </si>
  <si>
    <t>764410880</t>
  </si>
  <si>
    <t>Demontáž oplechování parapetu rš do 600 mm</t>
  </si>
  <si>
    <t>41</t>
  </si>
  <si>
    <t>764421240</t>
  </si>
  <si>
    <t>Oplechování říms Pz rš 250 mm – 1.NP.</t>
  </si>
  <si>
    <t>42</t>
  </si>
  <si>
    <t>764421250</t>
  </si>
  <si>
    <t>Oplechování říms Pz rš 330 mm – 1.NP.</t>
  </si>
  <si>
    <t>43</t>
  </si>
  <si>
    <t>764421270</t>
  </si>
  <si>
    <t>Oplechování říms Pz rš 500 mm - 2.N.P.</t>
  </si>
  <si>
    <t>23,5+26,3+12,85</t>
  </si>
  <si>
    <t>44</t>
  </si>
  <si>
    <t>764421280</t>
  </si>
  <si>
    <t>Oplechování říms Pz rš 600 mm - 3.N.P.</t>
  </si>
  <si>
    <t>23,5+26,5+12,15</t>
  </si>
  <si>
    <t>45</t>
  </si>
  <si>
    <t>764421850</t>
  </si>
  <si>
    <t>Demontáž oplechování říms rš do 330 mm</t>
  </si>
  <si>
    <t>21+25,6+12,85</t>
  </si>
  <si>
    <t>46</t>
  </si>
  <si>
    <t>764421870</t>
  </si>
  <si>
    <t>Demontáž oplechování říms rš do 500 mm</t>
  </si>
  <si>
    <t>47</t>
  </si>
  <si>
    <t>764422810</t>
  </si>
  <si>
    <t>Demontáž oplechování říms rš do 800 mm</t>
  </si>
  <si>
    <t>49</t>
  </si>
  <si>
    <t>764454203</t>
  </si>
  <si>
    <t>Zpětná montáž odpadní trouby Pz kruhové D 120 mm</t>
  </si>
  <si>
    <t>3*18</t>
  </si>
  <si>
    <t>50</t>
  </si>
  <si>
    <t>764454802.1</t>
  </si>
  <si>
    <t>Demontáž trouby kruhové průměr 120 mm - pro zpětné použití vč.uložení na mezideponii</t>
  </si>
  <si>
    <t>51</t>
  </si>
  <si>
    <t>764752112</t>
  </si>
  <si>
    <t>Montáž  provizorní odpadní trouby kruhové rovné D do 120 mm  vč.dodávky</t>
  </si>
  <si>
    <t>52</t>
  </si>
  <si>
    <t>998764103</t>
  </si>
  <si>
    <t>Přesun hmot tonážní pro konstrukce klempířské v objektech v do 24 m</t>
  </si>
  <si>
    <t>53</t>
  </si>
  <si>
    <t>76711R</t>
  </si>
  <si>
    <t>Demontáž stávajících mříží na oknech</t>
  </si>
  <si>
    <t>3*1,02*0,65 v 1.PP</t>
  </si>
  <si>
    <t>2*0,87*2,47 v 1.NP</t>
  </si>
  <si>
    <t>54</t>
  </si>
  <si>
    <t>767113</t>
  </si>
  <si>
    <t>Očištění, repase a nové nátěry mříží</t>
  </si>
  <si>
    <t>55</t>
  </si>
  <si>
    <t>76713R</t>
  </si>
  <si>
    <t xml:space="preserve">Montáž stávajících mříží </t>
  </si>
  <si>
    <t>60</t>
  </si>
  <si>
    <t>767996701</t>
  </si>
  <si>
    <t>Demontáž atypických zámečnických konstrukcí řezáním hmotnosti jednotlivých dílů do 50 kg</t>
  </si>
  <si>
    <t>kg</t>
  </si>
  <si>
    <t>"Odhad - držáky vedení elektro mřížky,č.popisná, orientační a pod)"20</t>
  </si>
  <si>
    <t>978059241</t>
  </si>
  <si>
    <t>Odsekání obkladů stěn z desek z kamene plochy přes 1 m2</t>
  </si>
  <si>
    <t>65</t>
  </si>
  <si>
    <t>782111150</t>
  </si>
  <si>
    <t>Montáž obkladu kámen měkký stěn tloušťky 40 nebo 50 mm</t>
  </si>
  <si>
    <t>66</t>
  </si>
  <si>
    <t>HZS23</t>
  </si>
  <si>
    <t>Hodinová zúčtovací sazba kameník odborný -  kamenické a restaurátorské práce</t>
  </si>
  <si>
    <t>hod</t>
  </si>
  <si>
    <t>512</t>
  </si>
  <si>
    <t>67</t>
  </si>
  <si>
    <t>583824100</t>
  </si>
  <si>
    <t>deska obkladová, pískovec, štípaná tl . do 50mm - cca 60%</t>
  </si>
  <si>
    <t>68</t>
  </si>
  <si>
    <t>998782102</t>
  </si>
  <si>
    <t>Přesun hmot tonážní pro obklady kamenné v objektech v do 12 m</t>
  </si>
  <si>
    <t>69</t>
  </si>
  <si>
    <t>78359</t>
  </si>
  <si>
    <t>Nátěry  klempířských  konstrukcí na pozink  (např.HOSTAGRUND)</t>
  </si>
  <si>
    <t>70</t>
  </si>
  <si>
    <t>783801812/01</t>
  </si>
  <si>
    <t>Hlavní budova - Odstranění nátěrů z omítek stěn oškrabáním s obroušením</t>
  </si>
  <si>
    <t>"A3"209,5*0,15</t>
  </si>
  <si>
    <t>"A17"175*0,15</t>
  </si>
  <si>
    <t>"A18"91,1*0,15</t>
  </si>
  <si>
    <t>"A19"170,6*0,15</t>
  </si>
  <si>
    <t>"A20"425*0,15</t>
  </si>
  <si>
    <t>VÝKAZ VÝMĚR</t>
  </si>
  <si>
    <t xml:space="preserve">REKAPITULACE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</si>
</sst>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u val="single"/>
      <sz val="8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53"/>
      <name val="Trebuchet MS"/>
      <family val="2"/>
    </font>
    <font>
      <i/>
      <sz val="8"/>
      <color indexed="62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>
      <alignment vertical="top" wrapText="1"/>
      <protection locked="0"/>
    </xf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91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5" fillId="33" borderId="0" xfId="36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7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9" fillId="0" borderId="22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4" fontId="19" fillId="0" borderId="23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2" fillId="0" borderId="0" xfId="36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64" fontId="26" fillId="0" borderId="24" xfId="0" applyNumberFormat="1" applyFont="1" applyBorder="1" applyAlignment="1">
      <alignment horizontal="right" vertical="center"/>
    </xf>
    <xf numFmtId="164" fontId="26" fillId="0" borderId="25" xfId="0" applyNumberFormat="1" applyFont="1" applyBorder="1" applyAlignment="1">
      <alignment horizontal="right" vertical="center"/>
    </xf>
    <xf numFmtId="167" fontId="26" fillId="0" borderId="25" xfId="0" applyNumberFormat="1" applyFont="1" applyBorder="1" applyAlignment="1">
      <alignment horizontal="right" vertical="center"/>
    </xf>
    <xf numFmtId="164" fontId="26" fillId="0" borderId="26" xfId="0" applyNumberFormat="1" applyFont="1" applyBorder="1" applyAlignment="1">
      <alignment horizontal="right" vertical="center"/>
    </xf>
    <xf numFmtId="0" fontId="20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9" fillId="34" borderId="18" xfId="0" applyFont="1" applyFill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9" fillId="0" borderId="20" xfId="0" applyNumberFormat="1" applyFont="1" applyBorder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4" fontId="3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31" fillId="0" borderId="1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1" fillId="0" borderId="14" xfId="0" applyFont="1" applyBorder="1" applyAlignment="1">
      <alignment horizontal="left"/>
    </xf>
    <xf numFmtId="0" fontId="31" fillId="0" borderId="22" xfId="0" applyFont="1" applyBorder="1" applyAlignment="1">
      <alignment horizontal="left"/>
    </xf>
    <xf numFmtId="167" fontId="31" fillId="0" borderId="0" xfId="0" applyNumberFormat="1" applyFont="1" applyAlignment="1">
      <alignment horizontal="right"/>
    </xf>
    <xf numFmtId="167" fontId="31" fillId="0" borderId="23" xfId="0" applyNumberFormat="1" applyFont="1" applyBorder="1" applyAlignment="1">
      <alignment horizontal="right"/>
    </xf>
    <xf numFmtId="0" fontId="31" fillId="0" borderId="0" xfId="0" applyFont="1" applyAlignment="1">
      <alignment horizontal="left"/>
    </xf>
    <xf numFmtId="164" fontId="31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left" vertical="center"/>
    </xf>
    <xf numFmtId="167" fontId="14" fillId="0" borderId="0" xfId="0" applyNumberFormat="1" applyFont="1" applyAlignment="1">
      <alignment horizontal="right" vertical="center"/>
    </xf>
    <xf numFmtId="167" fontId="14" fillId="0" borderId="23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168" fontId="32" fillId="0" borderId="0" xfId="0" applyNumberFormat="1" applyFont="1" applyAlignment="1">
      <alignment horizontal="right" vertical="center"/>
    </xf>
    <xf numFmtId="0" fontId="32" fillId="0" borderId="14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168" fontId="33" fillId="0" borderId="0" xfId="0" applyNumberFormat="1" applyFont="1" applyAlignment="1">
      <alignment horizontal="right" vertical="center"/>
    </xf>
    <xf numFmtId="0" fontId="34" fillId="0" borderId="33" xfId="0" applyFont="1" applyBorder="1" applyAlignment="1">
      <alignment horizontal="center" vertical="center"/>
    </xf>
    <xf numFmtId="49" fontId="34" fillId="0" borderId="33" xfId="0" applyNumberFormat="1" applyFont="1" applyBorder="1" applyAlignment="1">
      <alignment horizontal="left" vertical="center" wrapText="1"/>
    </xf>
    <xf numFmtId="0" fontId="34" fillId="0" borderId="33" xfId="0" applyFont="1" applyBorder="1" applyAlignment="1">
      <alignment horizontal="center" vertical="center" wrapText="1"/>
    </xf>
    <xf numFmtId="168" fontId="34" fillId="0" borderId="33" xfId="0" applyNumberFormat="1" applyFont="1" applyBorder="1" applyAlignment="1">
      <alignment horizontal="right" vertical="center"/>
    </xf>
    <xf numFmtId="0" fontId="35" fillId="0" borderId="13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168" fontId="35" fillId="0" borderId="0" xfId="0" applyNumberFormat="1" applyFont="1" applyAlignment="1">
      <alignment horizontal="right" vertical="center"/>
    </xf>
    <xf numFmtId="0" fontId="35" fillId="0" borderId="14" xfId="0" applyFont="1" applyBorder="1" applyAlignment="1">
      <alignment horizontal="left" vertical="center"/>
    </xf>
    <xf numFmtId="0" fontId="35" fillId="0" borderId="22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37" fillId="0" borderId="33" xfId="0" applyFont="1" applyBorder="1" applyAlignment="1">
      <alignment horizontal="center" vertical="center"/>
    </xf>
    <xf numFmtId="49" fontId="37" fillId="0" borderId="33" xfId="0" applyNumberFormat="1" applyFont="1" applyBorder="1" applyAlignment="1">
      <alignment horizontal="left" vertical="center" wrapText="1"/>
    </xf>
    <xf numFmtId="0" fontId="37" fillId="0" borderId="33" xfId="0" applyFont="1" applyBorder="1" applyAlignment="1">
      <alignment horizontal="center" vertical="center" wrapText="1"/>
    </xf>
    <xf numFmtId="168" fontId="37" fillId="0" borderId="33" xfId="0" applyNumberFormat="1" applyFont="1" applyBorder="1" applyAlignment="1">
      <alignment horizontal="righ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164" fontId="13" fillId="0" borderId="16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right" vertical="center"/>
    </xf>
    <xf numFmtId="0" fontId="9" fillId="34" borderId="18" xfId="0" applyFont="1" applyFill="1" applyBorder="1" applyAlignment="1">
      <alignment horizontal="left" vertical="center"/>
    </xf>
    <xf numFmtId="164" fontId="9" fillId="34" borderId="35" xfId="0" applyNumberFormat="1" applyFont="1" applyFill="1" applyBorder="1" applyAlignment="1">
      <alignment horizontal="right" vertical="center"/>
    </xf>
    <xf numFmtId="0" fontId="19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 horizontal="right" vertical="center"/>
    </xf>
    <xf numFmtId="164" fontId="20" fillId="34" borderId="0" xfId="0" applyNumberFormat="1" applyFont="1" applyFill="1" applyBorder="1" applyAlignment="1">
      <alignment horizontal="right" vertical="center"/>
    </xf>
    <xf numFmtId="0" fontId="5" fillId="33" borderId="0" xfId="36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 vertical="center"/>
    </xf>
    <xf numFmtId="166" fontId="11" fillId="0" borderId="0" xfId="0" applyNumberFormat="1" applyFont="1" applyBorder="1" applyAlignment="1">
      <alignment horizontal="left" vertical="top"/>
    </xf>
    <xf numFmtId="164" fontId="13" fillId="0" borderId="0" xfId="0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right" vertical="center"/>
    </xf>
    <xf numFmtId="0" fontId="11" fillId="34" borderId="0" xfId="0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right" vertical="center"/>
    </xf>
    <xf numFmtId="164" fontId="28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right"/>
    </xf>
    <xf numFmtId="164" fontId="27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164" fontId="0" fillId="0" borderId="33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/>
    </xf>
    <xf numFmtId="164" fontId="34" fillId="0" borderId="33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164" fontId="37" fillId="0" borderId="33" xfId="0" applyNumberFormat="1" applyFont="1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rad723D9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rad05DF6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7"/>
  <sheetViews>
    <sheetView showGridLines="0" zoomScalePageLayoutView="0" workbookViewId="0" topLeftCell="A1">
      <pane ySplit="1" topLeftCell="A69" activePane="bottomLeft" state="frozen"/>
      <selection pane="topLeft" activeCell="A1" sqref="A1"/>
      <selection pane="bottomLeft" activeCell="BG19" sqref="BG19"/>
    </sheetView>
  </sheetViews>
  <sheetFormatPr defaultColWidth="10.660156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.66796875" style="1" customWidth="1"/>
    <col min="44" max="44" width="10.66015625" style="2" customWidth="1"/>
    <col min="45" max="56" width="0" style="1" hidden="1" customWidth="1"/>
    <col min="57" max="57" width="66.5" style="1" customWidth="1"/>
    <col min="58" max="70" width="10.66015625" style="2" customWidth="1"/>
    <col min="71" max="89" width="0" style="1" hidden="1" customWidth="1"/>
    <col min="90" max="16384" width="10.66015625" style="2" customWidth="1"/>
  </cols>
  <sheetData>
    <row r="1" spans="1:73" s="7" customFormat="1" ht="22.5" customHeight="1">
      <c r="A1" s="3" t="s">
        <v>0</v>
      </c>
      <c r="B1" s="4"/>
      <c r="C1" s="4"/>
      <c r="D1" s="5" t="s">
        <v>1</v>
      </c>
      <c r="E1" s="4"/>
      <c r="F1" s="4"/>
      <c r="G1" s="4"/>
      <c r="H1" s="4"/>
      <c r="I1" s="4"/>
      <c r="J1" s="4"/>
      <c r="K1" s="6" t="s">
        <v>2</v>
      </c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6" t="s">
        <v>3</v>
      </c>
      <c r="X1" s="6"/>
      <c r="Y1" s="6"/>
      <c r="Z1" s="6"/>
      <c r="AA1" s="6"/>
      <c r="AB1" s="6"/>
      <c r="AC1" s="6"/>
      <c r="AD1" s="6"/>
      <c r="AE1" s="6"/>
      <c r="AF1" s="6"/>
      <c r="AG1" s="4"/>
      <c r="AH1" s="4"/>
      <c r="BS1" s="8" t="s">
        <v>4</v>
      </c>
      <c r="BT1" s="8" t="s">
        <v>5</v>
      </c>
      <c r="BU1" s="8" t="s">
        <v>5</v>
      </c>
    </row>
    <row r="2" spans="3:72" s="1" customFormat="1" ht="37.5" customHeight="1">
      <c r="C2" s="148" t="s">
        <v>6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R2" s="149" t="s">
        <v>7</v>
      </c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S2" s="9" t="s">
        <v>8</v>
      </c>
      <c r="BT2" s="9" t="s">
        <v>9</v>
      </c>
    </row>
    <row r="3" spans="2:72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10</v>
      </c>
    </row>
    <row r="4" spans="2:71" s="1" customFormat="1" ht="37.5" customHeight="1">
      <c r="B4" s="13"/>
      <c r="C4" s="150" t="s">
        <v>11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4"/>
      <c r="AS4" s="15" t="s">
        <v>12</v>
      </c>
      <c r="BS4" s="9" t="s">
        <v>13</v>
      </c>
    </row>
    <row r="5" spans="2:71" s="1" customFormat="1" ht="7.5" customHeight="1">
      <c r="B5" s="13"/>
      <c r="AQ5" s="14"/>
      <c r="BS5" s="9" t="s">
        <v>8</v>
      </c>
    </row>
    <row r="6" spans="2:71" s="1" customFormat="1" ht="26.25" customHeight="1">
      <c r="B6" s="13"/>
      <c r="D6" s="16" t="s">
        <v>14</v>
      </c>
      <c r="K6" s="151" t="s">
        <v>15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Q6" s="14"/>
      <c r="BS6" s="9" t="s">
        <v>16</v>
      </c>
    </row>
    <row r="7" spans="2:71" s="1" customFormat="1" ht="7.5" customHeight="1">
      <c r="B7" s="13"/>
      <c r="AQ7" s="14"/>
      <c r="BS7" s="9" t="s">
        <v>17</v>
      </c>
    </row>
    <row r="8" spans="2:71" s="1" customFormat="1" ht="15" customHeight="1">
      <c r="B8" s="13"/>
      <c r="D8" s="17" t="s">
        <v>18</v>
      </c>
      <c r="K8" s="18" t="s">
        <v>19</v>
      </c>
      <c r="AK8" s="17" t="s">
        <v>20</v>
      </c>
      <c r="AN8" s="18" t="s">
        <v>21</v>
      </c>
      <c r="AQ8" s="14"/>
      <c r="BS8" s="9" t="s">
        <v>22</v>
      </c>
    </row>
    <row r="9" spans="2:71" s="1" customFormat="1" ht="15" customHeight="1">
      <c r="B9" s="13"/>
      <c r="AQ9" s="14"/>
      <c r="BS9" s="9" t="s">
        <v>23</v>
      </c>
    </row>
    <row r="10" spans="2:71" s="1" customFormat="1" ht="15" customHeight="1">
      <c r="B10" s="13"/>
      <c r="D10" s="17" t="s">
        <v>24</v>
      </c>
      <c r="AK10" s="17" t="s">
        <v>25</v>
      </c>
      <c r="AN10" s="18"/>
      <c r="AQ10" s="14"/>
      <c r="BS10" s="9" t="s">
        <v>16</v>
      </c>
    </row>
    <row r="11" spans="2:71" s="1" customFormat="1" ht="19.5" customHeight="1">
      <c r="B11" s="13"/>
      <c r="E11" s="18" t="s">
        <v>26</v>
      </c>
      <c r="AK11" s="17" t="s">
        <v>27</v>
      </c>
      <c r="AN11" s="18"/>
      <c r="AQ11" s="14"/>
      <c r="BS11" s="9" t="s">
        <v>16</v>
      </c>
    </row>
    <row r="12" spans="2:71" s="1" customFormat="1" ht="7.5" customHeight="1">
      <c r="B12" s="13"/>
      <c r="AQ12" s="14"/>
      <c r="BS12" s="9" t="s">
        <v>16</v>
      </c>
    </row>
    <row r="13" spans="2:71" s="1" customFormat="1" ht="15" customHeight="1">
      <c r="B13" s="13"/>
      <c r="D13" s="17" t="s">
        <v>28</v>
      </c>
      <c r="AK13" s="17" t="s">
        <v>25</v>
      </c>
      <c r="AN13" s="18"/>
      <c r="AQ13" s="14"/>
      <c r="BS13" s="9" t="s">
        <v>16</v>
      </c>
    </row>
    <row r="14" spans="2:71" s="1" customFormat="1" ht="15.75" customHeight="1">
      <c r="B14" s="13"/>
      <c r="E14" s="18" t="s">
        <v>29</v>
      </c>
      <c r="AK14" s="17" t="s">
        <v>27</v>
      </c>
      <c r="AN14" s="18"/>
      <c r="AQ14" s="14"/>
      <c r="BS14" s="9" t="s">
        <v>16</v>
      </c>
    </row>
    <row r="15" spans="2:71" s="1" customFormat="1" ht="7.5" customHeight="1">
      <c r="B15" s="13"/>
      <c r="AQ15" s="14"/>
      <c r="BS15" s="9" t="s">
        <v>5</v>
      </c>
    </row>
    <row r="16" spans="2:71" s="1" customFormat="1" ht="15" customHeight="1">
      <c r="B16" s="13"/>
      <c r="D16" s="17" t="s">
        <v>30</v>
      </c>
      <c r="AK16" s="17" t="s">
        <v>25</v>
      </c>
      <c r="AN16" s="18"/>
      <c r="AQ16" s="14"/>
      <c r="BS16" s="9" t="s">
        <v>5</v>
      </c>
    </row>
    <row r="17" spans="2:71" s="1" customFormat="1" ht="19.5" customHeight="1">
      <c r="B17" s="13"/>
      <c r="E17" s="18" t="s">
        <v>31</v>
      </c>
      <c r="AK17" s="17" t="s">
        <v>27</v>
      </c>
      <c r="AN17" s="18"/>
      <c r="AQ17" s="14"/>
      <c r="BS17" s="9" t="s">
        <v>32</v>
      </c>
    </row>
    <row r="18" spans="2:71" s="1" customFormat="1" ht="7.5" customHeight="1">
      <c r="B18" s="13"/>
      <c r="AQ18" s="14"/>
      <c r="BS18" s="9" t="s">
        <v>8</v>
      </c>
    </row>
    <row r="19" spans="2:71" s="1" customFormat="1" ht="15" customHeight="1">
      <c r="B19" s="13"/>
      <c r="D19" s="17" t="s">
        <v>33</v>
      </c>
      <c r="AK19" s="17" t="s">
        <v>25</v>
      </c>
      <c r="AN19" s="18"/>
      <c r="AQ19" s="14"/>
      <c r="BS19" s="9" t="s">
        <v>16</v>
      </c>
    </row>
    <row r="20" spans="2:43" s="1" customFormat="1" ht="19.5" customHeight="1">
      <c r="B20" s="13"/>
      <c r="E20" s="18" t="s">
        <v>29</v>
      </c>
      <c r="AK20" s="17" t="s">
        <v>27</v>
      </c>
      <c r="AN20" s="18"/>
      <c r="AQ20" s="14"/>
    </row>
    <row r="21" spans="2:43" s="1" customFormat="1" ht="7.5" customHeight="1">
      <c r="B21" s="13"/>
      <c r="AQ21" s="14"/>
    </row>
    <row r="22" spans="2:43" s="1" customFormat="1" ht="7.5" customHeight="1">
      <c r="B22" s="13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4"/>
    </row>
    <row r="23" spans="2:43" s="1" customFormat="1" ht="15" customHeight="1">
      <c r="B23" s="13"/>
      <c r="D23" s="20" t="s">
        <v>34</v>
      </c>
      <c r="AK23" s="152">
        <f>ROUNDUP($AG$75,2)</f>
        <v>0</v>
      </c>
      <c r="AL23" s="152"/>
      <c r="AM23" s="152"/>
      <c r="AN23" s="152"/>
      <c r="AO23" s="152"/>
      <c r="AQ23" s="14"/>
    </row>
    <row r="24" spans="2:43" s="1" customFormat="1" ht="15" customHeight="1">
      <c r="B24" s="13"/>
      <c r="D24" s="20" t="s">
        <v>35</v>
      </c>
      <c r="AK24" s="152">
        <f>ROUNDUP($AG$78,2)</f>
        <v>0</v>
      </c>
      <c r="AL24" s="152"/>
      <c r="AM24" s="152"/>
      <c r="AN24" s="152"/>
      <c r="AO24" s="152"/>
      <c r="AQ24" s="14"/>
    </row>
    <row r="25" spans="2:43" s="9" customFormat="1" ht="7.5" customHeight="1">
      <c r="B25" s="21"/>
      <c r="AQ25" s="22"/>
    </row>
    <row r="26" spans="2:43" s="9" customFormat="1" ht="27" customHeight="1">
      <c r="B26" s="21"/>
      <c r="D26" s="23" t="s">
        <v>36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53">
        <f>ROUNDUP($AK$23+$AK$24,2)</f>
        <v>0</v>
      </c>
      <c r="AL26" s="153"/>
      <c r="AM26" s="153"/>
      <c r="AN26" s="153"/>
      <c r="AO26" s="153"/>
      <c r="AQ26" s="22"/>
    </row>
    <row r="27" spans="2:43" s="9" customFormat="1" ht="7.5" customHeight="1">
      <c r="B27" s="21"/>
      <c r="AQ27" s="22"/>
    </row>
    <row r="28" spans="2:43" s="9" customFormat="1" ht="15" customHeight="1">
      <c r="B28" s="25"/>
      <c r="D28" s="26" t="s">
        <v>37</v>
      </c>
      <c r="F28" s="26" t="s">
        <v>38</v>
      </c>
      <c r="L28" s="154">
        <v>0.21</v>
      </c>
      <c r="M28" s="154"/>
      <c r="N28" s="154"/>
      <c r="O28" s="154"/>
      <c r="T28" s="27" t="s">
        <v>39</v>
      </c>
      <c r="W28" s="155">
        <f>ROUNDUP($AZ$75+SUM($CD$79:$CD$79),2)</f>
        <v>0</v>
      </c>
      <c r="X28" s="155"/>
      <c r="Y28" s="155"/>
      <c r="Z28" s="155"/>
      <c r="AA28" s="155"/>
      <c r="AB28" s="155"/>
      <c r="AC28" s="155"/>
      <c r="AD28" s="155"/>
      <c r="AE28" s="155"/>
      <c r="AK28" s="155">
        <f>ROUNDUP($AV$75+SUM($BY$79:$BY$79),1)</f>
        <v>0</v>
      </c>
      <c r="AL28" s="155"/>
      <c r="AM28" s="155"/>
      <c r="AN28" s="155"/>
      <c r="AO28" s="155"/>
      <c r="AQ28" s="28"/>
    </row>
    <row r="29" spans="2:43" s="9" customFormat="1" ht="15" customHeight="1">
      <c r="B29" s="25"/>
      <c r="F29" s="26" t="s">
        <v>40</v>
      </c>
      <c r="L29" s="154">
        <v>0.15</v>
      </c>
      <c r="M29" s="154"/>
      <c r="N29" s="154"/>
      <c r="O29" s="154"/>
      <c r="T29" s="27" t="s">
        <v>39</v>
      </c>
      <c r="W29" s="155">
        <f>ROUNDUP($BA$75+SUM($CE$79:$CE$79),2)</f>
        <v>0</v>
      </c>
      <c r="X29" s="155"/>
      <c r="Y29" s="155"/>
      <c r="Z29" s="155"/>
      <c r="AA29" s="155"/>
      <c r="AB29" s="155"/>
      <c r="AC29" s="155"/>
      <c r="AD29" s="155"/>
      <c r="AE29" s="155"/>
      <c r="AK29" s="155">
        <f>ROUNDUP($AW$75+SUM($BZ$79:$BZ$79),1)</f>
        <v>0</v>
      </c>
      <c r="AL29" s="155"/>
      <c r="AM29" s="155"/>
      <c r="AN29" s="155"/>
      <c r="AO29" s="155"/>
      <c r="AQ29" s="28"/>
    </row>
    <row r="30" spans="2:43" s="9" customFormat="1" ht="15" customHeight="1" hidden="1">
      <c r="B30" s="25"/>
      <c r="F30" s="26" t="s">
        <v>41</v>
      </c>
      <c r="L30" s="154">
        <v>0.21</v>
      </c>
      <c r="M30" s="154"/>
      <c r="N30" s="154"/>
      <c r="O30" s="154"/>
      <c r="T30" s="27" t="s">
        <v>39</v>
      </c>
      <c r="W30" s="155">
        <f>ROUNDUP($BB$75+SUM($CF$79:$CF$79),2)</f>
        <v>0</v>
      </c>
      <c r="X30" s="155"/>
      <c r="Y30" s="155"/>
      <c r="Z30" s="155"/>
      <c r="AA30" s="155"/>
      <c r="AB30" s="155"/>
      <c r="AC30" s="155"/>
      <c r="AD30" s="155"/>
      <c r="AE30" s="155"/>
      <c r="AK30" s="155">
        <v>0</v>
      </c>
      <c r="AL30" s="155"/>
      <c r="AM30" s="155"/>
      <c r="AN30" s="155"/>
      <c r="AO30" s="155"/>
      <c r="AQ30" s="28"/>
    </row>
    <row r="31" spans="2:43" s="9" customFormat="1" ht="15" customHeight="1" hidden="1">
      <c r="B31" s="25"/>
      <c r="F31" s="26" t="s">
        <v>42</v>
      </c>
      <c r="L31" s="154">
        <v>0.15</v>
      </c>
      <c r="M31" s="154"/>
      <c r="N31" s="154"/>
      <c r="O31" s="154"/>
      <c r="T31" s="27" t="s">
        <v>39</v>
      </c>
      <c r="W31" s="155">
        <f>ROUNDUP($BC$75+SUM($CG$79:$CG$79),2)</f>
        <v>0</v>
      </c>
      <c r="X31" s="155"/>
      <c r="Y31" s="155"/>
      <c r="Z31" s="155"/>
      <c r="AA31" s="155"/>
      <c r="AB31" s="155"/>
      <c r="AC31" s="155"/>
      <c r="AD31" s="155"/>
      <c r="AE31" s="155"/>
      <c r="AK31" s="155">
        <v>0</v>
      </c>
      <c r="AL31" s="155"/>
      <c r="AM31" s="155"/>
      <c r="AN31" s="155"/>
      <c r="AO31" s="155"/>
      <c r="AQ31" s="28"/>
    </row>
    <row r="32" spans="2:43" s="9" customFormat="1" ht="15" customHeight="1" hidden="1">
      <c r="B32" s="25"/>
      <c r="F32" s="26" t="s">
        <v>43</v>
      </c>
      <c r="L32" s="154">
        <v>0</v>
      </c>
      <c r="M32" s="154"/>
      <c r="N32" s="154"/>
      <c r="O32" s="154"/>
      <c r="T32" s="27" t="s">
        <v>39</v>
      </c>
      <c r="W32" s="155">
        <f>ROUNDUP($BD$75+SUM($CH$79:$CH$79),2)</f>
        <v>0</v>
      </c>
      <c r="X32" s="155"/>
      <c r="Y32" s="155"/>
      <c r="Z32" s="155"/>
      <c r="AA32" s="155"/>
      <c r="AB32" s="155"/>
      <c r="AC32" s="155"/>
      <c r="AD32" s="155"/>
      <c r="AE32" s="155"/>
      <c r="AK32" s="155">
        <v>0</v>
      </c>
      <c r="AL32" s="155"/>
      <c r="AM32" s="155"/>
      <c r="AN32" s="155"/>
      <c r="AO32" s="155"/>
      <c r="AQ32" s="28"/>
    </row>
    <row r="33" spans="2:43" s="9" customFormat="1" ht="7.5" customHeight="1">
      <c r="B33" s="21"/>
      <c r="AQ33" s="22"/>
    </row>
    <row r="34" spans="2:43" s="9" customFormat="1" ht="27" customHeight="1">
      <c r="B34" s="21"/>
      <c r="C34" s="29"/>
      <c r="D34" s="30" t="s">
        <v>44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 t="s">
        <v>45</v>
      </c>
      <c r="U34" s="31"/>
      <c r="V34" s="31"/>
      <c r="W34" s="31"/>
      <c r="X34" s="156" t="s">
        <v>46</v>
      </c>
      <c r="Y34" s="156"/>
      <c r="Z34" s="156"/>
      <c r="AA34" s="156"/>
      <c r="AB34" s="156"/>
      <c r="AC34" s="31"/>
      <c r="AD34" s="31"/>
      <c r="AE34" s="31"/>
      <c r="AF34" s="31"/>
      <c r="AG34" s="31"/>
      <c r="AH34" s="31"/>
      <c r="AI34" s="31"/>
      <c r="AJ34" s="31"/>
      <c r="AK34" s="157">
        <f>ROUNDUP(SUM($AK$26:$AK$32),2)</f>
        <v>0</v>
      </c>
      <c r="AL34" s="157"/>
      <c r="AM34" s="157"/>
      <c r="AN34" s="157"/>
      <c r="AO34" s="157"/>
      <c r="AP34" s="29"/>
      <c r="AQ34" s="22"/>
    </row>
    <row r="35" spans="2:43" s="9" customFormat="1" ht="15" customHeight="1">
      <c r="B35" s="21"/>
      <c r="AQ35" s="22"/>
    </row>
    <row r="36" spans="2:43" s="1" customFormat="1" ht="14.25" customHeight="1">
      <c r="B36" s="13"/>
      <c r="AQ36" s="14"/>
    </row>
    <row r="37" spans="2:43" s="9" customFormat="1" ht="15.75" customHeight="1">
      <c r="B37" s="21"/>
      <c r="D37" s="33" t="s">
        <v>47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5"/>
      <c r="AC37" s="33" t="s">
        <v>48</v>
      </c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5"/>
      <c r="AQ37" s="22"/>
    </row>
    <row r="38" spans="2:43" s="1" customFormat="1" ht="14.25" customHeight="1">
      <c r="B38" s="13"/>
      <c r="D38" s="36"/>
      <c r="Z38" s="37"/>
      <c r="AC38" s="36"/>
      <c r="AO38" s="37"/>
      <c r="AQ38" s="14"/>
    </row>
    <row r="39" spans="2:43" s="1" customFormat="1" ht="14.25" customHeight="1">
      <c r="B39" s="13"/>
      <c r="D39" s="36"/>
      <c r="Z39" s="37"/>
      <c r="AC39" s="36"/>
      <c r="AO39" s="37"/>
      <c r="AQ39" s="14"/>
    </row>
    <row r="40" spans="2:43" s="1" customFormat="1" ht="14.25" customHeight="1">
      <c r="B40" s="13"/>
      <c r="D40" s="36"/>
      <c r="Z40" s="37"/>
      <c r="AC40" s="36"/>
      <c r="AO40" s="37"/>
      <c r="AQ40" s="14"/>
    </row>
    <row r="41" spans="2:43" s="1" customFormat="1" ht="14.25" customHeight="1">
      <c r="B41" s="13"/>
      <c r="D41" s="36"/>
      <c r="Z41" s="37"/>
      <c r="AC41" s="36"/>
      <c r="AO41" s="37"/>
      <c r="AQ41" s="14"/>
    </row>
    <row r="42" spans="2:43" s="1" customFormat="1" ht="14.25" customHeight="1">
      <c r="B42" s="13"/>
      <c r="D42" s="36"/>
      <c r="Z42" s="37"/>
      <c r="AC42" s="36"/>
      <c r="AO42" s="37"/>
      <c r="AQ42" s="14"/>
    </row>
    <row r="43" spans="2:43" s="1" customFormat="1" ht="14.25" customHeight="1">
      <c r="B43" s="13"/>
      <c r="D43" s="36"/>
      <c r="Z43" s="37"/>
      <c r="AC43" s="36"/>
      <c r="AO43" s="37"/>
      <c r="AQ43" s="14"/>
    </row>
    <row r="44" spans="2:43" s="1" customFormat="1" ht="14.25" customHeight="1">
      <c r="B44" s="13"/>
      <c r="D44" s="36"/>
      <c r="Z44" s="37"/>
      <c r="AC44" s="36"/>
      <c r="AO44" s="37"/>
      <c r="AQ44" s="14"/>
    </row>
    <row r="45" spans="2:43" s="1" customFormat="1" ht="14.25" customHeight="1">
      <c r="B45" s="13"/>
      <c r="D45" s="36"/>
      <c r="Z45" s="37"/>
      <c r="AC45" s="36"/>
      <c r="AO45" s="37"/>
      <c r="AQ45" s="14"/>
    </row>
    <row r="46" spans="2:43" s="9" customFormat="1" ht="15.75" customHeight="1">
      <c r="B46" s="21"/>
      <c r="D46" s="38" t="s">
        <v>49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 t="s">
        <v>50</v>
      </c>
      <c r="S46" s="39"/>
      <c r="T46" s="39"/>
      <c r="U46" s="39"/>
      <c r="V46" s="39"/>
      <c r="W46" s="39"/>
      <c r="X46" s="39"/>
      <c r="Y46" s="39"/>
      <c r="Z46" s="41"/>
      <c r="AC46" s="38" t="s">
        <v>49</v>
      </c>
      <c r="AD46" s="39"/>
      <c r="AE46" s="39"/>
      <c r="AF46" s="39"/>
      <c r="AG46" s="39"/>
      <c r="AH46" s="39"/>
      <c r="AI46" s="39"/>
      <c r="AJ46" s="39"/>
      <c r="AK46" s="39"/>
      <c r="AL46" s="39"/>
      <c r="AM46" s="40" t="s">
        <v>50</v>
      </c>
      <c r="AN46" s="39"/>
      <c r="AO46" s="41"/>
      <c r="AQ46" s="22"/>
    </row>
    <row r="47" spans="2:43" s="1" customFormat="1" ht="14.25" customHeight="1">
      <c r="B47" s="13"/>
      <c r="AQ47" s="14"/>
    </row>
    <row r="48" spans="2:43" s="9" customFormat="1" ht="15.75" customHeight="1">
      <c r="B48" s="21"/>
      <c r="D48" s="33" t="s">
        <v>51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C48" s="33" t="s">
        <v>52</v>
      </c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5"/>
      <c r="AQ48" s="22"/>
    </row>
    <row r="49" spans="2:43" s="1" customFormat="1" ht="14.25" customHeight="1">
      <c r="B49" s="13"/>
      <c r="D49" s="36"/>
      <c r="Z49" s="37"/>
      <c r="AC49" s="36"/>
      <c r="AO49" s="37"/>
      <c r="AQ49" s="14"/>
    </row>
    <row r="50" spans="2:43" s="1" customFormat="1" ht="14.25" customHeight="1">
      <c r="B50" s="13"/>
      <c r="D50" s="36"/>
      <c r="Z50" s="37"/>
      <c r="AC50" s="36"/>
      <c r="AO50" s="37"/>
      <c r="AQ50" s="14"/>
    </row>
    <row r="51" spans="2:43" s="1" customFormat="1" ht="14.25" customHeight="1">
      <c r="B51" s="13"/>
      <c r="D51" s="36"/>
      <c r="Z51" s="37"/>
      <c r="AC51" s="36"/>
      <c r="AO51" s="37"/>
      <c r="AQ51" s="14"/>
    </row>
    <row r="52" spans="2:43" s="1" customFormat="1" ht="14.25" customHeight="1">
      <c r="B52" s="13"/>
      <c r="D52" s="36"/>
      <c r="Z52" s="37"/>
      <c r="AC52" s="36"/>
      <c r="AO52" s="37"/>
      <c r="AQ52" s="14"/>
    </row>
    <row r="53" spans="2:43" s="1" customFormat="1" ht="14.25" customHeight="1">
      <c r="B53" s="13"/>
      <c r="D53" s="36"/>
      <c r="Z53" s="37"/>
      <c r="AC53" s="36"/>
      <c r="AO53" s="37"/>
      <c r="AQ53" s="14"/>
    </row>
    <row r="54" spans="2:43" s="1" customFormat="1" ht="14.25" customHeight="1">
      <c r="B54" s="13"/>
      <c r="D54" s="36"/>
      <c r="Z54" s="37"/>
      <c r="AC54" s="36"/>
      <c r="AO54" s="37"/>
      <c r="AQ54" s="14"/>
    </row>
    <row r="55" spans="2:43" s="1" customFormat="1" ht="14.25" customHeight="1">
      <c r="B55" s="13"/>
      <c r="D55" s="36"/>
      <c r="Z55" s="37"/>
      <c r="AC55" s="36"/>
      <c r="AO55" s="37"/>
      <c r="AQ55" s="14"/>
    </row>
    <row r="56" spans="2:43" s="1" customFormat="1" ht="14.25" customHeight="1">
      <c r="B56" s="13"/>
      <c r="D56" s="36"/>
      <c r="Z56" s="37"/>
      <c r="AC56" s="36"/>
      <c r="AO56" s="37"/>
      <c r="AQ56" s="14"/>
    </row>
    <row r="57" spans="2:43" s="9" customFormat="1" ht="15.75" customHeight="1">
      <c r="B57" s="21"/>
      <c r="D57" s="38" t="s">
        <v>49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 t="s">
        <v>50</v>
      </c>
      <c r="S57" s="39"/>
      <c r="T57" s="39"/>
      <c r="U57" s="39"/>
      <c r="V57" s="39"/>
      <c r="W57" s="39"/>
      <c r="X57" s="39"/>
      <c r="Y57" s="39"/>
      <c r="Z57" s="41"/>
      <c r="AC57" s="38" t="s">
        <v>49</v>
      </c>
      <c r="AD57" s="39"/>
      <c r="AE57" s="39"/>
      <c r="AF57" s="39"/>
      <c r="AG57" s="39"/>
      <c r="AH57" s="39"/>
      <c r="AI57" s="39"/>
      <c r="AJ57" s="39"/>
      <c r="AK57" s="39"/>
      <c r="AL57" s="39"/>
      <c r="AM57" s="40" t="s">
        <v>50</v>
      </c>
      <c r="AN57" s="39"/>
      <c r="AO57" s="41"/>
      <c r="AQ57" s="22"/>
    </row>
    <row r="58" spans="2:43" s="9" customFormat="1" ht="7.5" customHeight="1">
      <c r="B58" s="21"/>
      <c r="AQ58" s="22"/>
    </row>
    <row r="59" spans="2:43" s="9" customFormat="1" ht="7.5" customHeight="1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</row>
    <row r="63" spans="2:43" s="9" customFormat="1" ht="7.5" customHeight="1"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7"/>
    </row>
    <row r="64" spans="2:43" s="9" customFormat="1" ht="37.5" customHeight="1">
      <c r="B64" s="21"/>
      <c r="C64" s="150" t="s">
        <v>53</v>
      </c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22"/>
    </row>
    <row r="65" spans="2:43" s="9" customFormat="1" ht="7.5" customHeight="1">
      <c r="B65" s="21"/>
      <c r="AQ65" s="22"/>
    </row>
    <row r="66" spans="2:43" s="16" customFormat="1" ht="27" customHeight="1">
      <c r="B66" s="48"/>
      <c r="C66" s="16" t="s">
        <v>14</v>
      </c>
      <c r="I66" s="151" t="s">
        <v>15</v>
      </c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Q66" s="49"/>
    </row>
    <row r="67" spans="2:43" s="9" customFormat="1" ht="7.5" customHeight="1">
      <c r="B67" s="21"/>
      <c r="AQ67" s="22"/>
    </row>
    <row r="68" spans="2:43" s="9" customFormat="1" ht="15.75" customHeight="1">
      <c r="B68" s="21"/>
      <c r="C68" s="17" t="s">
        <v>18</v>
      </c>
      <c r="L68" s="50" t="str">
        <f>IF($K$8="","",$K$8)</f>
        <v>Lovosice</v>
      </c>
      <c r="AI68" s="17" t="s">
        <v>20</v>
      </c>
      <c r="AM68" s="51" t="str">
        <f>IF($AN$8="","",$AN$8)</f>
        <v>25.02.2016</v>
      </c>
      <c r="AQ68" s="22"/>
    </row>
    <row r="69" spans="2:43" s="9" customFormat="1" ht="7.5" customHeight="1">
      <c r="B69" s="21"/>
      <c r="AQ69" s="22"/>
    </row>
    <row r="70" spans="2:56" s="9" customFormat="1" ht="18.75" customHeight="1">
      <c r="B70" s="21"/>
      <c r="C70" s="17" t="s">
        <v>24</v>
      </c>
      <c r="L70" s="18" t="str">
        <f>IF($E$11="","",$E$11)</f>
        <v>Městský úřad Lovosice</v>
      </c>
      <c r="AI70" s="17" t="s">
        <v>30</v>
      </c>
      <c r="AM70" s="159" t="str">
        <f>IF($E$17="","",$E$17)</f>
        <v>Ing.arch.Luboš Hruška</v>
      </c>
      <c r="AN70" s="159"/>
      <c r="AO70" s="159"/>
      <c r="AP70" s="159"/>
      <c r="AQ70" s="22"/>
      <c r="AS70" s="158" t="s">
        <v>54</v>
      </c>
      <c r="AT70" s="158"/>
      <c r="AU70" s="34"/>
      <c r="AV70" s="34"/>
      <c r="AW70" s="34"/>
      <c r="AX70" s="34"/>
      <c r="AY70" s="34"/>
      <c r="AZ70" s="34"/>
      <c r="BA70" s="34"/>
      <c r="BB70" s="34"/>
      <c r="BC70" s="34"/>
      <c r="BD70" s="35"/>
    </row>
    <row r="71" spans="2:56" s="9" customFormat="1" ht="15.75" customHeight="1">
      <c r="B71" s="21"/>
      <c r="C71" s="17" t="s">
        <v>28</v>
      </c>
      <c r="L71" s="18" t="str">
        <f>IF($E$14="","",$E$14)</f>
        <v> </v>
      </c>
      <c r="AI71" s="17" t="s">
        <v>33</v>
      </c>
      <c r="AM71" s="159" t="str">
        <f>IF($E$20="","",$E$20)</f>
        <v> </v>
      </c>
      <c r="AN71" s="159"/>
      <c r="AO71" s="159"/>
      <c r="AP71" s="159"/>
      <c r="AQ71" s="22"/>
      <c r="AS71" s="158"/>
      <c r="AT71" s="158"/>
      <c r="BD71" s="52"/>
    </row>
    <row r="72" spans="2:56" s="9" customFormat="1" ht="12" customHeight="1">
      <c r="B72" s="21"/>
      <c r="AQ72" s="22"/>
      <c r="AS72" s="158"/>
      <c r="AT72" s="158"/>
      <c r="BD72" s="52"/>
    </row>
    <row r="73" spans="2:57" s="9" customFormat="1" ht="30" customHeight="1">
      <c r="B73" s="21"/>
      <c r="C73" s="160" t="s">
        <v>55</v>
      </c>
      <c r="D73" s="160"/>
      <c r="E73" s="160"/>
      <c r="F73" s="160"/>
      <c r="G73" s="160"/>
      <c r="H73" s="31"/>
      <c r="I73" s="161" t="s">
        <v>56</v>
      </c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 t="s">
        <v>57</v>
      </c>
      <c r="AH73" s="161"/>
      <c r="AI73" s="161"/>
      <c r="AJ73" s="161"/>
      <c r="AK73" s="161"/>
      <c r="AL73" s="161"/>
      <c r="AM73" s="161"/>
      <c r="AN73" s="162" t="s">
        <v>58</v>
      </c>
      <c r="AO73" s="162"/>
      <c r="AP73" s="162"/>
      <c r="AQ73" s="22"/>
      <c r="AS73" s="53" t="s">
        <v>59</v>
      </c>
      <c r="AT73" s="54" t="s">
        <v>60</v>
      </c>
      <c r="AU73" s="54" t="s">
        <v>61</v>
      </c>
      <c r="AV73" s="54" t="s">
        <v>62</v>
      </c>
      <c r="AW73" s="54" t="s">
        <v>63</v>
      </c>
      <c r="AX73" s="54" t="s">
        <v>64</v>
      </c>
      <c r="AY73" s="54" t="s">
        <v>65</v>
      </c>
      <c r="AZ73" s="54" t="s">
        <v>66</v>
      </c>
      <c r="BA73" s="54" t="s">
        <v>67</v>
      </c>
      <c r="BB73" s="54" t="s">
        <v>68</v>
      </c>
      <c r="BC73" s="54" t="s">
        <v>69</v>
      </c>
      <c r="BD73" s="55" t="s">
        <v>70</v>
      </c>
      <c r="BE73" s="56"/>
    </row>
    <row r="74" spans="2:56" s="9" customFormat="1" ht="12" customHeight="1">
      <c r="B74" s="21"/>
      <c r="AQ74" s="22"/>
      <c r="AS74" s="57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5"/>
    </row>
    <row r="75" spans="2:76" s="16" customFormat="1" ht="33" customHeight="1">
      <c r="B75" s="48"/>
      <c r="C75" s="58" t="s">
        <v>71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165">
        <f>ROUNDUP($AG$76,2)</f>
        <v>0</v>
      </c>
      <c r="AH75" s="165"/>
      <c r="AI75" s="165"/>
      <c r="AJ75" s="165"/>
      <c r="AK75" s="165"/>
      <c r="AL75" s="165"/>
      <c r="AM75" s="165"/>
      <c r="AN75" s="165">
        <f>ROUNDUP(SUM($AG$75,$AT$75),2)</f>
        <v>0</v>
      </c>
      <c r="AO75" s="165"/>
      <c r="AP75" s="165"/>
      <c r="AQ75" s="49"/>
      <c r="AS75" s="59">
        <f>ROUNDUP($AS$76,2)</f>
        <v>0</v>
      </c>
      <c r="AT75" s="60">
        <f>ROUNDUP(SUM($AV$75:$AW$75),1)</f>
        <v>0</v>
      </c>
      <c r="AU75" s="61" t="e">
        <f>ROUNDUP($AU$76,5)</f>
        <v>#REF!</v>
      </c>
      <c r="AV75" s="60">
        <f>ROUNDUP($AZ$75*$L$28,2)</f>
        <v>0</v>
      </c>
      <c r="AW75" s="60">
        <f>ROUNDUP($BA$75*$L$29,2)</f>
        <v>0</v>
      </c>
      <c r="AX75" s="60">
        <f>ROUNDUP($BB$75*$L$28,2)</f>
        <v>0</v>
      </c>
      <c r="AY75" s="60">
        <f>ROUNDUP($BC$75*$L$29,2)</f>
        <v>0</v>
      </c>
      <c r="AZ75" s="60">
        <f>ROUNDUP($AZ$76,2)</f>
        <v>0</v>
      </c>
      <c r="BA75" s="60">
        <f>ROUNDUP($BA$76,2)</f>
        <v>0</v>
      </c>
      <c r="BB75" s="60">
        <f>ROUNDUP($BB$76,2)</f>
        <v>0</v>
      </c>
      <c r="BC75" s="60">
        <f>ROUNDUP($BC$76,2)</f>
        <v>0</v>
      </c>
      <c r="BD75" s="62">
        <f>ROUNDUP($BD$76,2)</f>
        <v>0</v>
      </c>
      <c r="BS75" s="16" t="s">
        <v>72</v>
      </c>
      <c r="BT75" s="16" t="s">
        <v>73</v>
      </c>
      <c r="BU75" s="63" t="s">
        <v>74</v>
      </c>
      <c r="BV75" s="16" t="s">
        <v>75</v>
      </c>
      <c r="BW75" s="16" t="s">
        <v>76</v>
      </c>
      <c r="BX75" s="16" t="s">
        <v>77</v>
      </c>
    </row>
    <row r="76" spans="1:76" s="68" customFormat="1" ht="28.5" customHeight="1">
      <c r="A76" s="64" t="s">
        <v>78</v>
      </c>
      <c r="B76" s="65"/>
      <c r="C76" s="66"/>
      <c r="D76" s="163"/>
      <c r="E76" s="163"/>
      <c r="F76" s="163"/>
      <c r="G76" s="163"/>
      <c r="H76" s="163"/>
      <c r="I76" s="66"/>
      <c r="J76" s="163" t="s">
        <v>79</v>
      </c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4">
        <f>'20130822-1 - Rekonstrukce...'!$M$27</f>
        <v>0</v>
      </c>
      <c r="AH76" s="164"/>
      <c r="AI76" s="164"/>
      <c r="AJ76" s="164"/>
      <c r="AK76" s="164"/>
      <c r="AL76" s="164"/>
      <c r="AM76" s="164"/>
      <c r="AN76" s="164">
        <f>ROUNDUP(SUM($AG$76,$AT$76),2)</f>
        <v>0</v>
      </c>
      <c r="AO76" s="164"/>
      <c r="AP76" s="164"/>
      <c r="AQ76" s="67"/>
      <c r="AS76" s="69">
        <f>'20130822-1 - Rekonstrukce...'!$M$25</f>
        <v>0</v>
      </c>
      <c r="AT76" s="70">
        <f>ROUNDUP(SUM($AV$76:$AW$76),1)</f>
        <v>0</v>
      </c>
      <c r="AU76" s="71" t="e">
        <f>'20130822-1 - Rekonstrukce...'!$W$113</f>
        <v>#REF!</v>
      </c>
      <c r="AV76" s="70">
        <f>'20130822-1 - Rekonstrukce...'!$M$29</f>
        <v>0</v>
      </c>
      <c r="AW76" s="70">
        <f>'20130822-1 - Rekonstrukce...'!$M$30</f>
        <v>0</v>
      </c>
      <c r="AX76" s="70">
        <f>'20130822-1 - Rekonstrukce...'!$M$31</f>
        <v>0</v>
      </c>
      <c r="AY76" s="70">
        <f>'20130822-1 - Rekonstrukce...'!$M$32</f>
        <v>0</v>
      </c>
      <c r="AZ76" s="70">
        <f>'20130822-1 - Rekonstrukce...'!$H$29</f>
        <v>0</v>
      </c>
      <c r="BA76" s="70">
        <f>'20130822-1 - Rekonstrukce...'!$H$30</f>
        <v>0</v>
      </c>
      <c r="BB76" s="70">
        <f>'20130822-1 - Rekonstrukce...'!$H$31</f>
        <v>0</v>
      </c>
      <c r="BC76" s="70">
        <f>'20130822-1 - Rekonstrukce...'!$H$32</f>
        <v>0</v>
      </c>
      <c r="BD76" s="72">
        <f>'20130822-1 - Rekonstrukce...'!$H$33</f>
        <v>0</v>
      </c>
      <c r="BT76" s="68" t="s">
        <v>17</v>
      </c>
      <c r="BV76" s="68" t="s">
        <v>75</v>
      </c>
      <c r="BW76" s="68" t="s">
        <v>80</v>
      </c>
      <c r="BX76" s="68" t="s">
        <v>76</v>
      </c>
    </row>
    <row r="77" spans="2:43" s="1" customFormat="1" ht="14.25" customHeight="1">
      <c r="B77" s="13"/>
      <c r="AQ77" s="14"/>
    </row>
    <row r="78" spans="2:49" s="9" customFormat="1" ht="30.75" customHeight="1">
      <c r="B78" s="21"/>
      <c r="C78" s="58" t="s">
        <v>81</v>
      </c>
      <c r="AG78" s="165">
        <v>0</v>
      </c>
      <c r="AH78" s="165"/>
      <c r="AI78" s="165"/>
      <c r="AJ78" s="165"/>
      <c r="AK78" s="165"/>
      <c r="AL78" s="165"/>
      <c r="AM78" s="165"/>
      <c r="AN78" s="165">
        <v>0</v>
      </c>
      <c r="AO78" s="165"/>
      <c r="AP78" s="165"/>
      <c r="AQ78" s="22"/>
      <c r="AS78" s="53" t="s">
        <v>82</v>
      </c>
      <c r="AT78" s="54" t="s">
        <v>83</v>
      </c>
      <c r="AU78" s="54" t="s">
        <v>37</v>
      </c>
      <c r="AV78" s="55" t="s">
        <v>60</v>
      </c>
      <c r="AW78" s="56"/>
    </row>
    <row r="79" spans="2:48" s="9" customFormat="1" ht="12" customHeight="1">
      <c r="B79" s="21"/>
      <c r="AQ79" s="22"/>
      <c r="AS79" s="34"/>
      <c r="AT79" s="34"/>
      <c r="AU79" s="34"/>
      <c r="AV79" s="34"/>
    </row>
    <row r="80" spans="2:43" s="9" customFormat="1" ht="30.75" customHeight="1">
      <c r="B80" s="21"/>
      <c r="C80" s="73" t="s">
        <v>84</v>
      </c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166">
        <f>ROUNDUP($AG$75+$AG$78,2)</f>
        <v>0</v>
      </c>
      <c r="AH80" s="166"/>
      <c r="AI80" s="166"/>
      <c r="AJ80" s="166"/>
      <c r="AK80" s="166"/>
      <c r="AL80" s="166"/>
      <c r="AM80" s="166"/>
      <c r="AN80" s="166">
        <f>ROUNDUP($AN$75+$AN$78,2)</f>
        <v>0</v>
      </c>
      <c r="AO80" s="166"/>
      <c r="AP80" s="166"/>
      <c r="AQ80" s="22"/>
    </row>
    <row r="81" spans="2:43" s="9" customFormat="1" ht="7.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4"/>
    </row>
    <row r="87" ht="14.25" customHeight="1"/>
  </sheetData>
  <sheetProtection selectLockedCells="1" selectUnlockedCells="1"/>
  <mergeCells count="43">
    <mergeCell ref="AG78:AM78"/>
    <mergeCell ref="AN78:AP78"/>
    <mergeCell ref="AG80:AM80"/>
    <mergeCell ref="AN80:AP80"/>
    <mergeCell ref="AG75:AM75"/>
    <mergeCell ref="AN75:AP75"/>
    <mergeCell ref="D76:H76"/>
    <mergeCell ref="J76:AF76"/>
    <mergeCell ref="AG76:AM76"/>
    <mergeCell ref="AN76:AP76"/>
    <mergeCell ref="I66:AO66"/>
    <mergeCell ref="AM70:AP70"/>
    <mergeCell ref="AS70:AT72"/>
    <mergeCell ref="AM71:AP71"/>
    <mergeCell ref="C73:G73"/>
    <mergeCell ref="I73:AF73"/>
    <mergeCell ref="AG73:AM73"/>
    <mergeCell ref="AN73:AP73"/>
    <mergeCell ref="L32:O32"/>
    <mergeCell ref="W32:AE32"/>
    <mergeCell ref="AK32:AO32"/>
    <mergeCell ref="X34:AB34"/>
    <mergeCell ref="AK34:AO34"/>
    <mergeCell ref="C64:AP64"/>
    <mergeCell ref="L30:O30"/>
    <mergeCell ref="W30:AE30"/>
    <mergeCell ref="AK30:AO30"/>
    <mergeCell ref="L31:O31"/>
    <mergeCell ref="W31:AE31"/>
    <mergeCell ref="AK31:AO31"/>
    <mergeCell ref="AK26:AO26"/>
    <mergeCell ref="L28:O28"/>
    <mergeCell ref="W28:AE28"/>
    <mergeCell ref="AK28:AO28"/>
    <mergeCell ref="L29:O29"/>
    <mergeCell ref="W29:AE29"/>
    <mergeCell ref="AK29:AO29"/>
    <mergeCell ref="C2:AP2"/>
    <mergeCell ref="AR2:BE2"/>
    <mergeCell ref="C4:AP4"/>
    <mergeCell ref="K6:AO6"/>
    <mergeCell ref="AK23:AO23"/>
    <mergeCell ref="AK24:AO24"/>
  </mergeCells>
  <hyperlinks>
    <hyperlink ref="K1" location="C2" display="1) Souhrnný list stavby"/>
    <hyperlink ref="W1" location="C87" display="2) Rekapitulace objektů"/>
    <hyperlink ref="A76" location="20130822-1 - Rekonstrukce!...C2" display="/"/>
  </hyperlinks>
  <printOptions/>
  <pageMargins left="0.5902777777777778" right="0.5902777777777778" top="0.5902777777777778" bottom="0.5902777777777778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N94" sqref="N94:Q94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33" width="10.5" style="2" customWidth="1"/>
    <col min="34" max="34" width="20.66015625" style="2" customWidth="1"/>
    <col min="35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75"/>
      <c r="B1" s="4"/>
      <c r="C1" s="4"/>
      <c r="D1" s="5" t="s">
        <v>1</v>
      </c>
      <c r="E1" s="4"/>
      <c r="F1" s="6" t="s">
        <v>85</v>
      </c>
      <c r="G1" s="6"/>
      <c r="H1" s="167" t="s">
        <v>86</v>
      </c>
      <c r="I1" s="167"/>
      <c r="J1" s="167"/>
      <c r="K1" s="167"/>
      <c r="L1" s="6" t="s">
        <v>87</v>
      </c>
      <c r="M1" s="4"/>
      <c r="N1" s="4"/>
      <c r="O1" s="5" t="s">
        <v>88</v>
      </c>
      <c r="P1" s="4"/>
      <c r="Q1" s="4"/>
      <c r="R1" s="4"/>
      <c r="S1" s="6" t="s">
        <v>89</v>
      </c>
      <c r="T1" s="6"/>
      <c r="U1" s="75"/>
      <c r="V1" s="75"/>
    </row>
    <row r="2" spans="3:46" s="1" customFormat="1" ht="37.5" customHeight="1">
      <c r="C2" s="148" t="s">
        <v>6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s="149" t="s">
        <v>7</v>
      </c>
      <c r="T2" s="149"/>
      <c r="U2" s="149"/>
      <c r="V2" s="149"/>
      <c r="W2" s="149"/>
      <c r="X2" s="149"/>
      <c r="Y2" s="149"/>
      <c r="Z2" s="149"/>
      <c r="AA2" s="149"/>
      <c r="AB2" s="149"/>
      <c r="AC2" s="149"/>
      <c r="AT2" s="1" t="s">
        <v>80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90</v>
      </c>
    </row>
    <row r="4" spans="2:46" s="1" customFormat="1" ht="37.5" customHeight="1">
      <c r="B4" s="13"/>
      <c r="C4" s="150" t="s">
        <v>372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15.75" customHeight="1">
      <c r="B6" s="13"/>
      <c r="D6" s="17" t="s">
        <v>14</v>
      </c>
      <c r="F6" s="168" t="str">
        <f>'Rekapitulace stavby'!$K$6</f>
        <v>Rekonstrukce fasády na  I.základní škole v Lovosicích – II.etapa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R6" s="14"/>
    </row>
    <row r="7" spans="2:18" s="9" customFormat="1" ht="18.75" customHeight="1">
      <c r="B7" s="21"/>
      <c r="D7" s="16" t="s">
        <v>91</v>
      </c>
      <c r="F7" s="151" t="s">
        <v>92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R7" s="22"/>
    </row>
    <row r="8" spans="2:18" s="9" customFormat="1" ht="7.5" customHeight="1">
      <c r="B8" s="21"/>
      <c r="R8" s="22"/>
    </row>
    <row r="9" spans="2:18" s="9" customFormat="1" ht="15" customHeight="1">
      <c r="B9" s="21"/>
      <c r="D9" s="17" t="s">
        <v>18</v>
      </c>
      <c r="F9" s="18" t="s">
        <v>19</v>
      </c>
      <c r="M9" s="17" t="s">
        <v>20</v>
      </c>
      <c r="O9" s="169" t="str">
        <f>'Rekapitulace stavby'!$AN$8</f>
        <v>25.02.2016</v>
      </c>
      <c r="P9" s="169"/>
      <c r="R9" s="22"/>
    </row>
    <row r="10" spans="2:18" s="9" customFormat="1" ht="7.5" customHeight="1">
      <c r="B10" s="21"/>
      <c r="R10" s="22"/>
    </row>
    <row r="11" spans="2:18" s="9" customFormat="1" ht="15" customHeight="1">
      <c r="B11" s="21"/>
      <c r="D11" s="17" t="s">
        <v>24</v>
      </c>
      <c r="M11" s="17" t="s">
        <v>25</v>
      </c>
      <c r="O11" s="159"/>
      <c r="P11" s="159"/>
      <c r="R11" s="22"/>
    </row>
    <row r="12" spans="2:18" s="9" customFormat="1" ht="18.75" customHeight="1">
      <c r="B12" s="21"/>
      <c r="E12" s="18" t="s">
        <v>26</v>
      </c>
      <c r="M12" s="17" t="s">
        <v>27</v>
      </c>
      <c r="O12" s="159"/>
      <c r="P12" s="159"/>
      <c r="R12" s="22"/>
    </row>
    <row r="13" spans="2:18" s="9" customFormat="1" ht="7.5" customHeight="1">
      <c r="B13" s="21"/>
      <c r="R13" s="22"/>
    </row>
    <row r="14" spans="2:18" s="9" customFormat="1" ht="15" customHeight="1">
      <c r="B14" s="21"/>
      <c r="D14" s="17" t="s">
        <v>28</v>
      </c>
      <c r="M14" s="17" t="s">
        <v>25</v>
      </c>
      <c r="O14" s="159">
        <f>IF('Rekapitulace stavby'!$AN$13="","",'Rekapitulace stavby'!$AN$13)</f>
      </c>
      <c r="P14" s="159"/>
      <c r="R14" s="22"/>
    </row>
    <row r="15" spans="2:18" s="9" customFormat="1" ht="18.75" customHeight="1">
      <c r="B15" s="21"/>
      <c r="E15" s="18" t="str">
        <f>IF('Rekapitulace stavby'!$E$14="","",'Rekapitulace stavby'!$E$14)</f>
        <v> </v>
      </c>
      <c r="M15" s="17" t="s">
        <v>27</v>
      </c>
      <c r="O15" s="159">
        <f>IF('Rekapitulace stavby'!$AN$14="","",'Rekapitulace stavby'!$AN$14)</f>
      </c>
      <c r="P15" s="159"/>
      <c r="R15" s="22"/>
    </row>
    <row r="16" spans="2:18" s="9" customFormat="1" ht="7.5" customHeight="1">
      <c r="B16" s="21"/>
      <c r="R16" s="22"/>
    </row>
    <row r="17" spans="2:18" s="9" customFormat="1" ht="15" customHeight="1">
      <c r="B17" s="21"/>
      <c r="D17" s="17" t="s">
        <v>30</v>
      </c>
      <c r="M17" s="17" t="s">
        <v>25</v>
      </c>
      <c r="O17" s="159"/>
      <c r="P17" s="159"/>
      <c r="R17" s="22"/>
    </row>
    <row r="18" spans="2:18" s="9" customFormat="1" ht="18.75" customHeight="1">
      <c r="B18" s="21"/>
      <c r="E18" s="18" t="s">
        <v>31</v>
      </c>
      <c r="M18" s="17" t="s">
        <v>27</v>
      </c>
      <c r="O18" s="159"/>
      <c r="P18" s="159"/>
      <c r="R18" s="22"/>
    </row>
    <row r="19" spans="2:18" s="9" customFormat="1" ht="7.5" customHeight="1">
      <c r="B19" s="21"/>
      <c r="R19" s="22"/>
    </row>
    <row r="20" spans="2:18" s="9" customFormat="1" ht="15" customHeight="1">
      <c r="B20" s="21"/>
      <c r="D20" s="17" t="s">
        <v>33</v>
      </c>
      <c r="M20" s="17" t="s">
        <v>25</v>
      </c>
      <c r="O20" s="159">
        <f>IF('Rekapitulace stavby'!$AN$19="","",'Rekapitulace stavby'!$AN$19)</f>
      </c>
      <c r="P20" s="159"/>
      <c r="R20" s="22"/>
    </row>
    <row r="21" spans="2:18" s="9" customFormat="1" ht="18.75" customHeight="1">
      <c r="B21" s="21"/>
      <c r="E21" s="18" t="str">
        <f>IF('Rekapitulace stavby'!$E$20="","",'Rekapitulace stavby'!$E$20)</f>
        <v> </v>
      </c>
      <c r="M21" s="17" t="s">
        <v>27</v>
      </c>
      <c r="O21" s="159">
        <f>IF('Rekapitulace stavby'!$AN$20="","",'Rekapitulace stavby'!$AN$20)</f>
      </c>
      <c r="P21" s="159"/>
      <c r="R21" s="22"/>
    </row>
    <row r="22" spans="2:18" s="9" customFormat="1" ht="7.5" customHeight="1">
      <c r="B22" s="21"/>
      <c r="R22" s="22"/>
    </row>
    <row r="23" spans="2:18" s="9" customFormat="1" ht="7.5" customHeight="1">
      <c r="B23" s="2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R23" s="22"/>
    </row>
    <row r="24" spans="2:18" s="9" customFormat="1" ht="15" customHeight="1">
      <c r="B24" s="21"/>
      <c r="D24" s="76" t="s">
        <v>93</v>
      </c>
      <c r="M24" s="152">
        <f>$N$77</f>
        <v>0</v>
      </c>
      <c r="N24" s="152"/>
      <c r="O24" s="152"/>
      <c r="P24" s="152"/>
      <c r="R24" s="22"/>
    </row>
    <row r="25" spans="2:18" s="9" customFormat="1" ht="15" customHeight="1">
      <c r="B25" s="21"/>
      <c r="D25" s="20" t="s">
        <v>94</v>
      </c>
      <c r="M25" s="152"/>
      <c r="N25" s="152"/>
      <c r="O25" s="152"/>
      <c r="P25" s="152"/>
      <c r="R25" s="22"/>
    </row>
    <row r="26" spans="2:18" s="9" customFormat="1" ht="7.5" customHeight="1">
      <c r="B26" s="21"/>
      <c r="R26" s="22"/>
    </row>
    <row r="27" spans="2:18" s="9" customFormat="1" ht="26.25" customHeight="1">
      <c r="B27" s="21"/>
      <c r="D27" s="77" t="s">
        <v>36</v>
      </c>
      <c r="M27" s="170">
        <f>ROUNDUP($M$24+$M$25,2)</f>
        <v>0</v>
      </c>
      <c r="N27" s="170"/>
      <c r="O27" s="170"/>
      <c r="P27" s="170"/>
      <c r="R27" s="22"/>
    </row>
    <row r="28" spans="2:18" s="9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9" customFormat="1" ht="15" customHeight="1">
      <c r="B29" s="21"/>
      <c r="D29" s="26" t="s">
        <v>37</v>
      </c>
      <c r="E29" s="26" t="s">
        <v>38</v>
      </c>
      <c r="F29" s="78">
        <v>0.21</v>
      </c>
      <c r="G29" s="79" t="s">
        <v>39</v>
      </c>
      <c r="H29" s="171">
        <f>M27</f>
        <v>0</v>
      </c>
      <c r="I29" s="171"/>
      <c r="J29" s="171"/>
      <c r="M29" s="171">
        <f>L35-M27</f>
        <v>0</v>
      </c>
      <c r="N29" s="171"/>
      <c r="O29" s="171"/>
      <c r="P29" s="171"/>
      <c r="R29" s="22"/>
    </row>
    <row r="30" spans="2:18" s="9" customFormat="1" ht="15" customHeight="1">
      <c r="B30" s="21"/>
      <c r="E30" s="26" t="s">
        <v>40</v>
      </c>
      <c r="F30" s="78">
        <v>0.15</v>
      </c>
      <c r="G30" s="79" t="s">
        <v>39</v>
      </c>
      <c r="H30" s="171">
        <f>ROUNDUP((SUM($BF$93:$BF$95)+SUM($BF$113:$BF$306)),2)</f>
        <v>0</v>
      </c>
      <c r="I30" s="171"/>
      <c r="J30" s="171"/>
      <c r="M30" s="171">
        <f>ROUNDUP((SUM($BF$93:$BF$95)+SUM($BF$113:$BF$306))*$F$30,1)</f>
        <v>0</v>
      </c>
      <c r="N30" s="171"/>
      <c r="O30" s="171"/>
      <c r="P30" s="171"/>
      <c r="R30" s="22"/>
    </row>
    <row r="31" spans="2:18" s="9" customFormat="1" ht="15" customHeight="1" hidden="1">
      <c r="B31" s="21"/>
      <c r="E31" s="26" t="s">
        <v>41</v>
      </c>
      <c r="F31" s="78">
        <v>0.21</v>
      </c>
      <c r="G31" s="79" t="s">
        <v>39</v>
      </c>
      <c r="H31" s="171">
        <f>ROUNDUP((SUM($BG$93:$BG$95)+SUM($BG$113:$BG$306)),2)</f>
        <v>0</v>
      </c>
      <c r="I31" s="171"/>
      <c r="J31" s="171"/>
      <c r="M31" s="171">
        <v>0</v>
      </c>
      <c r="N31" s="171"/>
      <c r="O31" s="171"/>
      <c r="P31" s="171"/>
      <c r="R31" s="22"/>
    </row>
    <row r="32" spans="2:18" s="9" customFormat="1" ht="15" customHeight="1" hidden="1">
      <c r="B32" s="21"/>
      <c r="E32" s="26" t="s">
        <v>42</v>
      </c>
      <c r="F32" s="78">
        <v>0.15</v>
      </c>
      <c r="G32" s="79" t="s">
        <v>39</v>
      </c>
      <c r="H32" s="171">
        <f>ROUNDUP((SUM($BH$93:$BH$95)+SUM($BH$113:$BH$306)),2)</f>
        <v>0</v>
      </c>
      <c r="I32" s="171"/>
      <c r="J32" s="171"/>
      <c r="M32" s="171">
        <v>0</v>
      </c>
      <c r="N32" s="171"/>
      <c r="O32" s="171"/>
      <c r="P32" s="171"/>
      <c r="R32" s="22"/>
    </row>
    <row r="33" spans="2:18" s="9" customFormat="1" ht="15" customHeight="1" hidden="1">
      <c r="B33" s="21"/>
      <c r="E33" s="26" t="s">
        <v>43</v>
      </c>
      <c r="F33" s="78">
        <v>0</v>
      </c>
      <c r="G33" s="79" t="s">
        <v>39</v>
      </c>
      <c r="H33" s="171">
        <f>ROUNDUP((SUM($BI$93:$BI$95)+SUM($BI$113:$BI$306)),2)</f>
        <v>0</v>
      </c>
      <c r="I33" s="171"/>
      <c r="J33" s="171"/>
      <c r="M33" s="171">
        <v>0</v>
      </c>
      <c r="N33" s="171"/>
      <c r="O33" s="171"/>
      <c r="P33" s="171"/>
      <c r="R33" s="22"/>
    </row>
    <row r="34" spans="2:18" s="9" customFormat="1" ht="7.5" customHeight="1">
      <c r="B34" s="21"/>
      <c r="R34" s="22"/>
    </row>
    <row r="35" spans="2:18" s="9" customFormat="1" ht="26.25" customHeight="1">
      <c r="B35" s="21"/>
      <c r="C35" s="29"/>
      <c r="D35" s="30" t="s">
        <v>44</v>
      </c>
      <c r="E35" s="31"/>
      <c r="F35" s="31"/>
      <c r="G35" s="80" t="s">
        <v>45</v>
      </c>
      <c r="H35" s="32" t="s">
        <v>46</v>
      </c>
      <c r="I35" s="31"/>
      <c r="J35" s="31"/>
      <c r="K35" s="31"/>
      <c r="L35" s="157">
        <f>M27*1.21</f>
        <v>0</v>
      </c>
      <c r="M35" s="157"/>
      <c r="N35" s="157"/>
      <c r="O35" s="157"/>
      <c r="P35" s="157"/>
      <c r="Q35" s="29"/>
      <c r="R35" s="22"/>
    </row>
    <row r="36" spans="2:18" s="9" customFormat="1" ht="15" customHeight="1">
      <c r="B36" s="21"/>
      <c r="R36" s="22"/>
    </row>
    <row r="37" spans="2:18" s="1" customFormat="1" ht="14.25" customHeight="1">
      <c r="B37" s="13"/>
      <c r="R37" s="14"/>
    </row>
    <row r="38" spans="2:18" s="1" customFormat="1" ht="14.25" customHeight="1">
      <c r="B38" s="13"/>
      <c r="R38" s="14"/>
    </row>
    <row r="39" spans="2:18" s="9" customFormat="1" ht="15.75" customHeight="1">
      <c r="B39" s="21"/>
      <c r="D39" s="33" t="s">
        <v>47</v>
      </c>
      <c r="E39" s="34"/>
      <c r="F39" s="34"/>
      <c r="G39" s="34"/>
      <c r="H39" s="35"/>
      <c r="J39" s="33" t="s">
        <v>48</v>
      </c>
      <c r="K39" s="34"/>
      <c r="L39" s="34"/>
      <c r="M39" s="34"/>
      <c r="N39" s="34"/>
      <c r="O39" s="34"/>
      <c r="P39" s="35"/>
      <c r="R39" s="22"/>
    </row>
    <row r="40" spans="2:18" s="1" customFormat="1" ht="14.25" customHeight="1">
      <c r="B40" s="13"/>
      <c r="D40" s="36"/>
      <c r="H40" s="37"/>
      <c r="J40" s="36"/>
      <c r="P40" s="37"/>
      <c r="R40" s="14"/>
    </row>
    <row r="41" spans="2:18" s="1" customFormat="1" ht="14.25" customHeight="1">
      <c r="B41" s="13"/>
      <c r="D41" s="36"/>
      <c r="H41" s="37"/>
      <c r="J41" s="36"/>
      <c r="P41" s="37"/>
      <c r="R41" s="14"/>
    </row>
    <row r="42" spans="2:18" s="1" customFormat="1" ht="14.25" customHeight="1">
      <c r="B42" s="13"/>
      <c r="D42" s="36"/>
      <c r="H42" s="37"/>
      <c r="J42" s="36"/>
      <c r="P42" s="37"/>
      <c r="R42" s="14"/>
    </row>
    <row r="43" spans="2:18" s="1" customFormat="1" ht="14.25" customHeight="1">
      <c r="B43" s="13"/>
      <c r="D43" s="36"/>
      <c r="H43" s="37"/>
      <c r="J43" s="36"/>
      <c r="P43" s="37"/>
      <c r="R43" s="14"/>
    </row>
    <row r="44" spans="2:18" s="1" customFormat="1" ht="14.25" customHeight="1">
      <c r="B44" s="13"/>
      <c r="D44" s="36"/>
      <c r="H44" s="37"/>
      <c r="J44" s="36"/>
      <c r="P44" s="37"/>
      <c r="R44" s="14"/>
    </row>
    <row r="45" spans="2:18" s="1" customFormat="1" ht="14.25" customHeight="1">
      <c r="B45" s="13"/>
      <c r="D45" s="36"/>
      <c r="H45" s="37"/>
      <c r="J45" s="36"/>
      <c r="P45" s="37"/>
      <c r="R45" s="14"/>
    </row>
    <row r="46" spans="2:18" s="1" customFormat="1" ht="14.25" customHeight="1">
      <c r="B46" s="13"/>
      <c r="D46" s="36"/>
      <c r="H46" s="37"/>
      <c r="J46" s="36"/>
      <c r="P46" s="37"/>
      <c r="R46" s="14"/>
    </row>
    <row r="47" spans="2:18" s="1" customFormat="1" ht="14.25" customHeight="1">
      <c r="B47" s="13"/>
      <c r="D47" s="36"/>
      <c r="H47" s="37"/>
      <c r="J47" s="36"/>
      <c r="P47" s="37"/>
      <c r="R47" s="14"/>
    </row>
    <row r="48" spans="2:18" s="9" customFormat="1" ht="15.75" customHeight="1">
      <c r="B48" s="21"/>
      <c r="D48" s="38" t="s">
        <v>49</v>
      </c>
      <c r="E48" s="39"/>
      <c r="F48" s="39"/>
      <c r="G48" s="40" t="s">
        <v>50</v>
      </c>
      <c r="H48" s="41"/>
      <c r="J48" s="38" t="s">
        <v>49</v>
      </c>
      <c r="K48" s="39"/>
      <c r="L48" s="39"/>
      <c r="M48" s="39"/>
      <c r="N48" s="40" t="s">
        <v>50</v>
      </c>
      <c r="O48" s="39"/>
      <c r="P48" s="41"/>
      <c r="R48" s="22"/>
    </row>
    <row r="49" spans="2:18" s="1" customFormat="1" ht="14.25" customHeight="1">
      <c r="B49" s="13"/>
      <c r="R49" s="14"/>
    </row>
    <row r="50" spans="2:18" s="9" customFormat="1" ht="15.75" customHeight="1">
      <c r="B50" s="21"/>
      <c r="D50" s="33" t="s">
        <v>51</v>
      </c>
      <c r="E50" s="34"/>
      <c r="F50" s="34"/>
      <c r="G50" s="34"/>
      <c r="H50" s="35"/>
      <c r="J50" s="33" t="s">
        <v>52</v>
      </c>
      <c r="K50" s="34"/>
      <c r="L50" s="34"/>
      <c r="M50" s="34"/>
      <c r="N50" s="34"/>
      <c r="O50" s="34"/>
      <c r="P50" s="35"/>
      <c r="R50" s="22"/>
    </row>
    <row r="51" spans="2:18" s="1" customFormat="1" ht="14.25" customHeight="1">
      <c r="B51" s="13"/>
      <c r="D51" s="36"/>
      <c r="H51" s="37"/>
      <c r="J51" s="36"/>
      <c r="P51" s="37"/>
      <c r="R51" s="14"/>
    </row>
    <row r="52" spans="2:18" s="1" customFormat="1" ht="14.25" customHeight="1">
      <c r="B52" s="13"/>
      <c r="D52" s="36"/>
      <c r="H52" s="37"/>
      <c r="J52" s="36"/>
      <c r="P52" s="37"/>
      <c r="R52" s="14"/>
    </row>
    <row r="53" spans="2:18" s="1" customFormat="1" ht="14.25" customHeight="1">
      <c r="B53" s="13"/>
      <c r="D53" s="36"/>
      <c r="H53" s="37"/>
      <c r="J53" s="36"/>
      <c r="P53" s="37"/>
      <c r="R53" s="14"/>
    </row>
    <row r="54" spans="2:18" s="1" customFormat="1" ht="14.25" customHeight="1">
      <c r="B54" s="13"/>
      <c r="D54" s="36"/>
      <c r="H54" s="37"/>
      <c r="J54" s="36"/>
      <c r="P54" s="37"/>
      <c r="R54" s="14"/>
    </row>
    <row r="55" spans="2:18" s="1" customFormat="1" ht="14.25" customHeight="1">
      <c r="B55" s="13"/>
      <c r="D55" s="36"/>
      <c r="H55" s="37"/>
      <c r="J55" s="36"/>
      <c r="P55" s="37"/>
      <c r="R55" s="14"/>
    </row>
    <row r="56" spans="2:18" s="1" customFormat="1" ht="14.25" customHeight="1">
      <c r="B56" s="13"/>
      <c r="D56" s="36"/>
      <c r="H56" s="37"/>
      <c r="J56" s="36"/>
      <c r="P56" s="37"/>
      <c r="R56" s="14"/>
    </row>
    <row r="57" spans="2:18" s="1" customFormat="1" ht="14.25" customHeight="1">
      <c r="B57" s="13"/>
      <c r="D57" s="36"/>
      <c r="H57" s="37"/>
      <c r="J57" s="36"/>
      <c r="P57" s="37"/>
      <c r="R57" s="14"/>
    </row>
    <row r="58" spans="2:18" s="1" customFormat="1" ht="14.25" customHeight="1">
      <c r="B58" s="13"/>
      <c r="D58" s="36"/>
      <c r="H58" s="37"/>
      <c r="J58" s="36"/>
      <c r="P58" s="37"/>
      <c r="R58" s="14"/>
    </row>
    <row r="59" spans="2:18" s="9" customFormat="1" ht="15.75" customHeight="1">
      <c r="B59" s="21"/>
      <c r="D59" s="38" t="s">
        <v>49</v>
      </c>
      <c r="E59" s="39"/>
      <c r="F59" s="39"/>
      <c r="G59" s="40" t="s">
        <v>50</v>
      </c>
      <c r="H59" s="41"/>
      <c r="J59" s="38" t="s">
        <v>49</v>
      </c>
      <c r="K59" s="39"/>
      <c r="L59" s="39"/>
      <c r="M59" s="39"/>
      <c r="N59" s="40" t="s">
        <v>50</v>
      </c>
      <c r="O59" s="39"/>
      <c r="P59" s="41"/>
      <c r="R59" s="22"/>
    </row>
    <row r="60" spans="2:18" s="9" customFormat="1" ht="15" customHeight="1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4"/>
    </row>
    <row r="64" spans="2:18" s="9" customFormat="1" ht="7.5" customHeight="1"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7"/>
    </row>
    <row r="65" spans="2:18" s="9" customFormat="1" ht="37.5" customHeight="1">
      <c r="B65" s="21"/>
      <c r="C65" s="150" t="s">
        <v>373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22"/>
    </row>
    <row r="66" spans="2:18" s="9" customFormat="1" ht="7.5" customHeight="1">
      <c r="B66" s="21"/>
      <c r="R66" s="22"/>
    </row>
    <row r="67" spans="2:18" s="9" customFormat="1" ht="15" customHeight="1">
      <c r="B67" s="21"/>
      <c r="C67" s="17" t="s">
        <v>14</v>
      </c>
      <c r="F67" s="168" t="str">
        <f>$F$6</f>
        <v>Rekonstrukce fasády na  I.základní škole v Lovosicích – II.etapa</v>
      </c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R67" s="22"/>
    </row>
    <row r="68" spans="2:18" s="9" customFormat="1" ht="15" customHeight="1">
      <c r="B68" s="21"/>
      <c r="C68" s="16" t="s">
        <v>91</v>
      </c>
      <c r="F68" s="151" t="str">
        <f>$F$7</f>
        <v>Rekonstrukce fasády A3, A17, A18, A19 a A20</v>
      </c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R68" s="22"/>
    </row>
    <row r="69" spans="2:18" s="9" customFormat="1" ht="7.5" customHeight="1">
      <c r="B69" s="21"/>
      <c r="R69" s="22"/>
    </row>
    <row r="70" spans="2:18" s="9" customFormat="1" ht="18.75" customHeight="1">
      <c r="B70" s="21"/>
      <c r="C70" s="17" t="s">
        <v>18</v>
      </c>
      <c r="F70" s="18" t="str">
        <f>$F$9</f>
        <v>Lovosice</v>
      </c>
      <c r="K70" s="17" t="s">
        <v>20</v>
      </c>
      <c r="M70" s="169" t="str">
        <f>IF($O$9="","",$O$9)</f>
        <v>25.02.2016</v>
      </c>
      <c r="N70" s="169"/>
      <c r="O70" s="169"/>
      <c r="P70" s="169"/>
      <c r="R70" s="22"/>
    </row>
    <row r="71" spans="2:18" s="9" customFormat="1" ht="7.5" customHeight="1">
      <c r="B71" s="21"/>
      <c r="R71" s="22"/>
    </row>
    <row r="72" spans="2:18" s="9" customFormat="1" ht="15.75" customHeight="1">
      <c r="B72" s="21"/>
      <c r="C72" s="17" t="s">
        <v>24</v>
      </c>
      <c r="F72" s="18" t="str">
        <f>$E$12</f>
        <v>Městský úřad Lovosice</v>
      </c>
      <c r="K72" s="17" t="s">
        <v>30</v>
      </c>
      <c r="M72" s="159" t="str">
        <f>$E$18</f>
        <v>Ing.arch.Luboš Hruška</v>
      </c>
      <c r="N72" s="159"/>
      <c r="O72" s="159"/>
      <c r="P72" s="159"/>
      <c r="Q72" s="159"/>
      <c r="R72" s="22"/>
    </row>
    <row r="73" spans="2:18" s="9" customFormat="1" ht="15" customHeight="1">
      <c r="B73" s="21"/>
      <c r="C73" s="17" t="s">
        <v>28</v>
      </c>
      <c r="F73" s="18" t="str">
        <f>IF($E$15="","",$E$15)</f>
        <v> </v>
      </c>
      <c r="K73" s="17" t="s">
        <v>33</v>
      </c>
      <c r="M73" s="159" t="str">
        <f>$E$21</f>
        <v> </v>
      </c>
      <c r="N73" s="159"/>
      <c r="O73" s="159"/>
      <c r="P73" s="159"/>
      <c r="Q73" s="159"/>
      <c r="R73" s="22"/>
    </row>
    <row r="74" spans="2:18" s="9" customFormat="1" ht="11.25" customHeight="1">
      <c r="B74" s="21"/>
      <c r="R74" s="22"/>
    </row>
    <row r="75" spans="2:18" s="9" customFormat="1" ht="30" customHeight="1">
      <c r="B75" s="21"/>
      <c r="C75" s="172" t="s">
        <v>95</v>
      </c>
      <c r="D75" s="172"/>
      <c r="E75" s="172"/>
      <c r="F75" s="172"/>
      <c r="G75" s="172"/>
      <c r="H75" s="74"/>
      <c r="I75" s="74"/>
      <c r="J75" s="74"/>
      <c r="K75" s="74"/>
      <c r="L75" s="74"/>
      <c r="M75" s="74"/>
      <c r="N75" s="172" t="s">
        <v>96</v>
      </c>
      <c r="O75" s="172"/>
      <c r="P75" s="172"/>
      <c r="Q75" s="172"/>
      <c r="R75" s="22"/>
    </row>
    <row r="76" spans="2:18" s="9" customFormat="1" ht="11.25" customHeight="1">
      <c r="B76" s="21"/>
      <c r="R76" s="22"/>
    </row>
    <row r="77" spans="2:47" s="9" customFormat="1" ht="30" customHeight="1">
      <c r="B77" s="21"/>
      <c r="C77" s="58" t="s">
        <v>97</v>
      </c>
      <c r="N77" s="165">
        <f>ROUNDUP($N$113,2)</f>
        <v>0</v>
      </c>
      <c r="O77" s="165"/>
      <c r="P77" s="165"/>
      <c r="Q77" s="165"/>
      <c r="R77" s="22"/>
      <c r="AU77" s="9" t="s">
        <v>98</v>
      </c>
    </row>
    <row r="78" spans="2:18" s="63" customFormat="1" ht="25.5" customHeight="1">
      <c r="B78" s="81"/>
      <c r="D78" s="82" t="s">
        <v>99</v>
      </c>
      <c r="N78" s="173">
        <f>ROUNDUP($N$114,2)</f>
        <v>0</v>
      </c>
      <c r="O78" s="173"/>
      <c r="P78" s="173"/>
      <c r="Q78" s="173"/>
      <c r="R78" s="83"/>
    </row>
    <row r="79" spans="2:18" s="76" customFormat="1" ht="21" customHeight="1">
      <c r="B79" s="84"/>
      <c r="D79" s="85" t="s">
        <v>100</v>
      </c>
      <c r="N79" s="174">
        <f>ROUNDUP($N$115,2)</f>
        <v>0</v>
      </c>
      <c r="O79" s="174"/>
      <c r="P79" s="174"/>
      <c r="Q79" s="174"/>
      <c r="R79" s="86"/>
    </row>
    <row r="80" spans="2:18" s="76" customFormat="1" ht="21" customHeight="1">
      <c r="B80" s="84"/>
      <c r="D80" s="85" t="s">
        <v>101</v>
      </c>
      <c r="N80" s="174">
        <f>ROUNDUP($N$126,2)</f>
        <v>0</v>
      </c>
      <c r="O80" s="174"/>
      <c r="P80" s="174"/>
      <c r="Q80" s="174"/>
      <c r="R80" s="86"/>
    </row>
    <row r="81" spans="2:18" s="76" customFormat="1" ht="21" customHeight="1">
      <c r="B81" s="84"/>
      <c r="D81" s="85" t="s">
        <v>102</v>
      </c>
      <c r="N81" s="174">
        <f>ROUNDUP($N$128,2)</f>
        <v>0</v>
      </c>
      <c r="O81" s="174"/>
      <c r="P81" s="174"/>
      <c r="Q81" s="174"/>
      <c r="R81" s="86"/>
    </row>
    <row r="82" spans="2:18" s="76" customFormat="1" ht="21" customHeight="1">
      <c r="B82" s="84"/>
      <c r="D82" s="85" t="s">
        <v>103</v>
      </c>
      <c r="N82" s="174">
        <f>ROUNDUP($N$191,2)</f>
        <v>0</v>
      </c>
      <c r="O82" s="174"/>
      <c r="P82" s="174"/>
      <c r="Q82" s="174"/>
      <c r="R82" s="86"/>
    </row>
    <row r="83" spans="2:18" s="76" customFormat="1" ht="21" customHeight="1">
      <c r="B83" s="84"/>
      <c r="D83" s="85" t="s">
        <v>104</v>
      </c>
      <c r="N83" s="174">
        <f>ROUNDUP($N$228,2)</f>
        <v>0</v>
      </c>
      <c r="O83" s="174"/>
      <c r="P83" s="174"/>
      <c r="Q83" s="174"/>
      <c r="R83" s="86"/>
    </row>
    <row r="84" spans="2:18" s="63" customFormat="1" ht="25.5" customHeight="1">
      <c r="B84" s="81"/>
      <c r="D84" s="82" t="s">
        <v>105</v>
      </c>
      <c r="N84" s="173">
        <f>ROUNDUP($N$234,2)</f>
        <v>0</v>
      </c>
      <c r="O84" s="173"/>
      <c r="P84" s="173"/>
      <c r="Q84" s="173"/>
      <c r="R84" s="83"/>
    </row>
    <row r="85" spans="2:18" s="76" customFormat="1" ht="21" customHeight="1">
      <c r="B85" s="84"/>
      <c r="D85" s="85" t="s">
        <v>106</v>
      </c>
      <c r="N85" s="174">
        <f>ROUNDUP($N$235,2)</f>
        <v>0</v>
      </c>
      <c r="O85" s="174"/>
      <c r="P85" s="174"/>
      <c r="Q85" s="174"/>
      <c r="R85" s="86"/>
    </row>
    <row r="86" spans="2:18" s="76" customFormat="1" ht="21" customHeight="1">
      <c r="B86" s="84"/>
      <c r="C86" s="76"/>
      <c r="D86" s="85" t="s">
        <v>107</v>
      </c>
      <c r="N86" s="174">
        <f>ROUNDUP($N$237,2)</f>
        <v>0</v>
      </c>
      <c r="O86" s="174"/>
      <c r="P86" s="174"/>
      <c r="Q86" s="174"/>
      <c r="R86" s="86"/>
    </row>
    <row r="87" spans="2:18" s="76" customFormat="1" ht="21" customHeight="1">
      <c r="B87" s="84"/>
      <c r="D87" s="85" t="s">
        <v>108</v>
      </c>
      <c r="N87" s="174">
        <f>ROUNDUP($N$239,2)</f>
        <v>0</v>
      </c>
      <c r="O87" s="174"/>
      <c r="P87" s="174"/>
      <c r="Q87" s="174"/>
      <c r="R87" s="86"/>
    </row>
    <row r="88" spans="2:18" s="76" customFormat="1" ht="21" customHeight="1">
      <c r="B88" s="84"/>
      <c r="D88" s="85" t="s">
        <v>109</v>
      </c>
      <c r="N88" s="174">
        <f>ROUNDUP($N$242,2)</f>
        <v>0</v>
      </c>
      <c r="O88" s="174"/>
      <c r="P88" s="174"/>
      <c r="Q88" s="174"/>
      <c r="R88" s="86"/>
    </row>
    <row r="89" spans="2:18" s="76" customFormat="1" ht="21" customHeight="1">
      <c r="B89" s="84"/>
      <c r="D89" s="85" t="s">
        <v>110</v>
      </c>
      <c r="N89" s="174">
        <f>ROUNDUP($N$277,2)</f>
        <v>0</v>
      </c>
      <c r="O89" s="174"/>
      <c r="P89" s="174"/>
      <c r="Q89" s="174"/>
      <c r="R89" s="86"/>
    </row>
    <row r="90" spans="2:18" s="76" customFormat="1" ht="21" customHeight="1">
      <c r="B90" s="84"/>
      <c r="D90" s="85" t="s">
        <v>111</v>
      </c>
      <c r="N90" s="174">
        <f>ROUNDUP($N$289,2)</f>
        <v>0</v>
      </c>
      <c r="O90" s="174"/>
      <c r="P90" s="174"/>
      <c r="Q90" s="174"/>
      <c r="R90" s="86"/>
    </row>
    <row r="91" spans="2:18" s="76" customFormat="1" ht="21" customHeight="1">
      <c r="B91" s="84"/>
      <c r="D91" s="85" t="s">
        <v>112</v>
      </c>
      <c r="N91" s="174">
        <f>ROUNDUP($N$297,2)</f>
        <v>0</v>
      </c>
      <c r="O91" s="174"/>
      <c r="P91" s="174"/>
      <c r="Q91" s="174"/>
      <c r="R91" s="86"/>
    </row>
    <row r="92" spans="2:18" s="9" customFormat="1" ht="22.5" customHeight="1">
      <c r="B92" s="21"/>
      <c r="R92" s="22"/>
    </row>
    <row r="93" spans="2:21" s="9" customFormat="1" ht="30" customHeight="1">
      <c r="B93" s="21"/>
      <c r="C93" s="58" t="s">
        <v>113</v>
      </c>
      <c r="N93" s="165">
        <f>ROUNDUP($N$94,2)</f>
        <v>0</v>
      </c>
      <c r="O93" s="165"/>
      <c r="P93" s="165"/>
      <c r="Q93" s="165"/>
      <c r="R93" s="22"/>
      <c r="T93" s="87"/>
      <c r="U93" s="88" t="s">
        <v>37</v>
      </c>
    </row>
    <row r="94" spans="2:62" s="9" customFormat="1" ht="18.75" customHeight="1">
      <c r="B94" s="21"/>
      <c r="D94" s="175" t="s">
        <v>114</v>
      </c>
      <c r="E94" s="175"/>
      <c r="F94" s="175"/>
      <c r="G94" s="175"/>
      <c r="H94" s="175"/>
      <c r="N94" s="174"/>
      <c r="O94" s="174"/>
      <c r="P94" s="174"/>
      <c r="Q94" s="174"/>
      <c r="R94" s="22"/>
      <c r="T94" s="89"/>
      <c r="U94" s="90" t="s">
        <v>38</v>
      </c>
      <c r="AY94" s="9" t="s">
        <v>115</v>
      </c>
      <c r="BE94" s="91">
        <f>IF($U$94="základní",$N$94,0)</f>
        <v>0</v>
      </c>
      <c r="BF94" s="91">
        <f>IF($U$94="snížená",$N$94,0)</f>
        <v>0</v>
      </c>
      <c r="BG94" s="91">
        <f>IF($U$94="zákl. přenesená",$N$94,0)</f>
        <v>0</v>
      </c>
      <c r="BH94" s="91">
        <f>IF($U$94="sníž. přenesená",$N$94,0)</f>
        <v>0</v>
      </c>
      <c r="BI94" s="91">
        <f>IF($U$94="nulová",$N$94,0)</f>
        <v>0</v>
      </c>
      <c r="BJ94" s="9" t="s">
        <v>17</v>
      </c>
    </row>
    <row r="95" spans="2:18" s="9" customFormat="1" ht="18.75" customHeight="1">
      <c r="B95" s="21"/>
      <c r="R95" s="22"/>
    </row>
    <row r="96" spans="2:18" s="9" customFormat="1" ht="30" customHeight="1">
      <c r="B96" s="21"/>
      <c r="C96" s="73" t="s">
        <v>84</v>
      </c>
      <c r="D96" s="74"/>
      <c r="E96" s="74"/>
      <c r="F96" s="74"/>
      <c r="G96" s="74"/>
      <c r="H96" s="74"/>
      <c r="I96" s="74"/>
      <c r="J96" s="74"/>
      <c r="K96" s="74"/>
      <c r="L96" s="166">
        <f>ROUNDUP(SUM($N$77+$N$93),2)</f>
        <v>0</v>
      </c>
      <c r="M96" s="166"/>
      <c r="N96" s="166"/>
      <c r="O96" s="166"/>
      <c r="P96" s="166"/>
      <c r="Q96" s="166"/>
      <c r="R96" s="22"/>
    </row>
    <row r="97" spans="2:18" s="9" customFormat="1" ht="7.5" customHeight="1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4"/>
    </row>
    <row r="101" spans="2:18" s="9" customFormat="1" ht="7.5" customHeight="1"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7"/>
    </row>
    <row r="102" spans="2:18" s="9" customFormat="1" ht="37.5" customHeight="1">
      <c r="B102" s="21"/>
      <c r="C102" s="150" t="s">
        <v>372</v>
      </c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22"/>
    </row>
    <row r="103" spans="2:18" s="9" customFormat="1" ht="7.5" customHeight="1">
      <c r="B103" s="21"/>
      <c r="R103" s="22"/>
    </row>
    <row r="104" spans="2:18" s="9" customFormat="1" ht="15" customHeight="1">
      <c r="B104" s="21"/>
      <c r="C104" s="17" t="s">
        <v>14</v>
      </c>
      <c r="F104" s="168" t="str">
        <f>$F$6</f>
        <v>Rekonstrukce fasády na  I.základní škole v Lovosicích – II.etapa</v>
      </c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R104" s="22"/>
    </row>
    <row r="105" spans="2:18" s="9" customFormat="1" ht="15" customHeight="1">
      <c r="B105" s="21"/>
      <c r="C105" s="16" t="s">
        <v>91</v>
      </c>
      <c r="F105" s="151" t="str">
        <f>$F$7</f>
        <v>Rekonstrukce fasády A3, A17, A18, A19 a A20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R105" s="22"/>
    </row>
    <row r="106" spans="2:18" s="9" customFormat="1" ht="7.5" customHeight="1">
      <c r="B106" s="21"/>
      <c r="R106" s="22"/>
    </row>
    <row r="107" spans="2:18" s="9" customFormat="1" ht="18.75" customHeight="1">
      <c r="B107" s="21"/>
      <c r="C107" s="17" t="s">
        <v>18</v>
      </c>
      <c r="F107" s="18" t="str">
        <f>$F$9</f>
        <v>Lovosice</v>
      </c>
      <c r="K107" s="17" t="s">
        <v>20</v>
      </c>
      <c r="M107" s="169" t="str">
        <f>IF($O$9="","",$O$9)</f>
        <v>25.02.2016</v>
      </c>
      <c r="N107" s="169"/>
      <c r="O107" s="169"/>
      <c r="P107" s="169"/>
      <c r="R107" s="22"/>
    </row>
    <row r="108" spans="2:18" s="9" customFormat="1" ht="7.5" customHeight="1">
      <c r="B108" s="21"/>
      <c r="R108" s="22"/>
    </row>
    <row r="109" spans="2:18" s="9" customFormat="1" ht="15.75" customHeight="1">
      <c r="B109" s="21"/>
      <c r="C109" s="17" t="s">
        <v>24</v>
      </c>
      <c r="F109" s="18" t="str">
        <f>$E$12</f>
        <v>Městský úřad Lovosice</v>
      </c>
      <c r="K109" s="17" t="s">
        <v>30</v>
      </c>
      <c r="M109" s="159" t="str">
        <f>$E$18</f>
        <v>Ing.arch.Luboš Hruška</v>
      </c>
      <c r="N109" s="159"/>
      <c r="O109" s="159"/>
      <c r="P109" s="159"/>
      <c r="Q109" s="159"/>
      <c r="R109" s="22"/>
    </row>
    <row r="110" spans="2:18" s="9" customFormat="1" ht="15" customHeight="1">
      <c r="B110" s="21"/>
      <c r="C110" s="17" t="s">
        <v>28</v>
      </c>
      <c r="F110" s="18" t="str">
        <f>IF($E$15="","",$E$15)</f>
        <v> </v>
      </c>
      <c r="K110" s="17" t="s">
        <v>33</v>
      </c>
      <c r="M110" s="159" t="str">
        <f>$E$21</f>
        <v> </v>
      </c>
      <c r="N110" s="159"/>
      <c r="O110" s="159"/>
      <c r="P110" s="159"/>
      <c r="Q110" s="159"/>
      <c r="R110" s="22"/>
    </row>
    <row r="111" spans="2:18" s="9" customFormat="1" ht="11.25" customHeight="1">
      <c r="B111" s="21"/>
      <c r="R111" s="22"/>
    </row>
    <row r="112" spans="2:27" s="92" customFormat="1" ht="30" customHeight="1">
      <c r="B112" s="93"/>
      <c r="C112" s="94" t="s">
        <v>116</v>
      </c>
      <c r="D112" s="95" t="s">
        <v>117</v>
      </c>
      <c r="E112" s="95" t="s">
        <v>55</v>
      </c>
      <c r="F112" s="176" t="s">
        <v>118</v>
      </c>
      <c r="G112" s="176"/>
      <c r="H112" s="176"/>
      <c r="I112" s="176"/>
      <c r="J112" s="95" t="s">
        <v>119</v>
      </c>
      <c r="K112" s="95" t="s">
        <v>120</v>
      </c>
      <c r="L112" s="176" t="s">
        <v>121</v>
      </c>
      <c r="M112" s="176"/>
      <c r="N112" s="177" t="s">
        <v>122</v>
      </c>
      <c r="O112" s="177"/>
      <c r="P112" s="177"/>
      <c r="Q112" s="177"/>
      <c r="R112" s="96"/>
      <c r="T112" s="53" t="s">
        <v>123</v>
      </c>
      <c r="U112" s="54" t="s">
        <v>37</v>
      </c>
      <c r="V112" s="54" t="s">
        <v>124</v>
      </c>
      <c r="W112" s="54" t="s">
        <v>125</v>
      </c>
      <c r="X112" s="54" t="s">
        <v>126</v>
      </c>
      <c r="Y112" s="54" t="s">
        <v>127</v>
      </c>
      <c r="Z112" s="54" t="s">
        <v>128</v>
      </c>
      <c r="AA112" s="55" t="s">
        <v>129</v>
      </c>
    </row>
    <row r="113" spans="2:63" s="9" customFormat="1" ht="30" customHeight="1">
      <c r="B113" s="21"/>
      <c r="C113" s="58" t="s">
        <v>93</v>
      </c>
      <c r="N113" s="178">
        <f>N114+N234</f>
        <v>0</v>
      </c>
      <c r="O113" s="178"/>
      <c r="P113" s="178"/>
      <c r="Q113" s="178"/>
      <c r="R113" s="22"/>
      <c r="T113" s="57"/>
      <c r="U113" s="34"/>
      <c r="V113" s="34"/>
      <c r="W113" s="97" t="e">
        <f>$W$114+$W$234</f>
        <v>#REF!</v>
      </c>
      <c r="X113" s="34"/>
      <c r="Y113" s="97" t="e">
        <f>$Y$114+$Y$234</f>
        <v>#REF!</v>
      </c>
      <c r="Z113" s="34"/>
      <c r="AA113" s="98" t="e">
        <f>$AA$114+$AA$234</f>
        <v>#REF!</v>
      </c>
      <c r="AT113" s="9" t="s">
        <v>72</v>
      </c>
      <c r="AU113" s="9" t="s">
        <v>98</v>
      </c>
      <c r="BK113" s="99" t="e">
        <f>$BK$114+$BK$234</f>
        <v>#REF!</v>
      </c>
    </row>
    <row r="114" spans="2:63" s="100" customFormat="1" ht="37.5" customHeight="1">
      <c r="B114" s="101"/>
      <c r="D114" s="102" t="s">
        <v>99</v>
      </c>
      <c r="N114" s="179">
        <f>N115+N126+N128+N191+N228</f>
        <v>0</v>
      </c>
      <c r="O114" s="179"/>
      <c r="P114" s="179"/>
      <c r="Q114" s="179"/>
      <c r="R114" s="103"/>
      <c r="T114" s="104"/>
      <c r="W114" s="105">
        <f>$W$115+$W$126+$W$128+$W$191+$W$228</f>
        <v>1705.3171699999998</v>
      </c>
      <c r="Y114" s="105">
        <f>$Y$115+$Y$126+$Y$128+$Y$191+$Y$228</f>
        <v>61.985225</v>
      </c>
      <c r="AA114" s="106">
        <f>$AA$115+$AA$126+$AA$128+$AA$191+$AA$228</f>
        <v>33.5662</v>
      </c>
      <c r="AR114" s="107" t="s">
        <v>17</v>
      </c>
      <c r="AT114" s="107" t="s">
        <v>72</v>
      </c>
      <c r="AU114" s="107" t="s">
        <v>73</v>
      </c>
      <c r="AY114" s="107" t="s">
        <v>130</v>
      </c>
      <c r="BK114" s="108">
        <f>$BK$115+$BK$126+$BK$128+$BK$191+$BK$228</f>
        <v>0</v>
      </c>
    </row>
    <row r="115" spans="2:63" s="100" customFormat="1" ht="21" customHeight="1">
      <c r="B115" s="101"/>
      <c r="D115" s="109" t="s">
        <v>100</v>
      </c>
      <c r="N115" s="180">
        <f>SUM(N116:N118)</f>
        <v>0</v>
      </c>
      <c r="O115" s="180"/>
      <c r="P115" s="180"/>
      <c r="Q115" s="180"/>
      <c r="R115" s="103"/>
      <c r="T115" s="104"/>
      <c r="W115" s="105">
        <f>SUM($W$116:$W$125)</f>
        <v>237.07099999999997</v>
      </c>
      <c r="Y115" s="105">
        <f>SUM($Y$116:$Y$125)</f>
        <v>50.131927999999995</v>
      </c>
      <c r="AA115" s="106">
        <f>SUM($AA$116:$AA$125)</f>
        <v>0</v>
      </c>
      <c r="AR115" s="107" t="s">
        <v>17</v>
      </c>
      <c r="AT115" s="107" t="s">
        <v>72</v>
      </c>
      <c r="AU115" s="107" t="s">
        <v>17</v>
      </c>
      <c r="AY115" s="107" t="s">
        <v>130</v>
      </c>
      <c r="BK115" s="108">
        <f>SUM($BK$116:$BK$125)</f>
        <v>0</v>
      </c>
    </row>
    <row r="116" spans="2:64" s="9" customFormat="1" ht="27" customHeight="1">
      <c r="B116" s="21"/>
      <c r="C116" s="110" t="s">
        <v>17</v>
      </c>
      <c r="D116" s="110" t="s">
        <v>131</v>
      </c>
      <c r="E116" s="111" t="s">
        <v>132</v>
      </c>
      <c r="F116" s="181" t="s">
        <v>133</v>
      </c>
      <c r="G116" s="181"/>
      <c r="H116" s="181"/>
      <c r="I116" s="181"/>
      <c r="J116" s="112" t="s">
        <v>134</v>
      </c>
      <c r="K116" s="113">
        <v>1.5</v>
      </c>
      <c r="L116" s="182"/>
      <c r="M116" s="182"/>
      <c r="N116" s="182">
        <f>ROUND($L$116*$K$116,2)</f>
        <v>0</v>
      </c>
      <c r="O116" s="182"/>
      <c r="P116" s="182"/>
      <c r="Q116" s="182"/>
      <c r="R116" s="22"/>
      <c r="T116" s="114"/>
      <c r="U116" s="27" t="s">
        <v>38</v>
      </c>
      <c r="V116" s="115">
        <v>0.83</v>
      </c>
      <c r="W116" s="115">
        <f>$V$116*$K$116</f>
        <v>1.2449999999999999</v>
      </c>
      <c r="X116" s="115">
        <v>0.08219</v>
      </c>
      <c r="Y116" s="115">
        <f>$X$116*$K$116</f>
        <v>0.123285</v>
      </c>
      <c r="Z116" s="115">
        <v>0</v>
      </c>
      <c r="AA116" s="116">
        <f>$Z$116*$K$116</f>
        <v>0</v>
      </c>
      <c r="AR116" s="9" t="s">
        <v>135</v>
      </c>
      <c r="AT116" s="9" t="s">
        <v>131</v>
      </c>
      <c r="AU116" s="9" t="s">
        <v>90</v>
      </c>
      <c r="AY116" s="9" t="s">
        <v>130</v>
      </c>
      <c r="BE116" s="91">
        <f>IF($U$116="základní",$N$116,0)</f>
        <v>0</v>
      </c>
      <c r="BF116" s="91">
        <f>IF($U$116="snížená",$N$116,0)</f>
        <v>0</v>
      </c>
      <c r="BG116" s="91">
        <f>IF($U$116="zákl. přenesená",$N$116,0)</f>
        <v>0</v>
      </c>
      <c r="BH116" s="91">
        <f>IF($U$116="sníž. přenesená",$N$116,0)</f>
        <v>0</v>
      </c>
      <c r="BI116" s="91">
        <f>IF($U$116="nulová",$N$116,0)</f>
        <v>0</v>
      </c>
      <c r="BJ116" s="9" t="s">
        <v>17</v>
      </c>
      <c r="BK116" s="91">
        <f>ROUND($L$116*$K$116,2)</f>
        <v>0</v>
      </c>
      <c r="BL116" s="9" t="s">
        <v>135</v>
      </c>
    </row>
    <row r="117" spans="2:51" s="9" customFormat="1" ht="15.75" customHeight="1">
      <c r="B117" s="117"/>
      <c r="E117" s="118"/>
      <c r="F117" s="183" t="s">
        <v>136</v>
      </c>
      <c r="G117" s="183"/>
      <c r="H117" s="183"/>
      <c r="I117" s="183"/>
      <c r="K117" s="119">
        <v>1.5</v>
      </c>
      <c r="R117" s="120"/>
      <c r="T117" s="121"/>
      <c r="AA117" s="122"/>
      <c r="AT117" s="118" t="s">
        <v>137</v>
      </c>
      <c r="AU117" s="118" t="s">
        <v>90</v>
      </c>
      <c r="AV117" s="118" t="s">
        <v>90</v>
      </c>
      <c r="AW117" s="118" t="s">
        <v>98</v>
      </c>
      <c r="AX117" s="118" t="s">
        <v>17</v>
      </c>
      <c r="AY117" s="118" t="s">
        <v>130</v>
      </c>
    </row>
    <row r="118" spans="2:64" s="9" customFormat="1" ht="27" customHeight="1">
      <c r="B118" s="21"/>
      <c r="C118" s="110" t="s">
        <v>90</v>
      </c>
      <c r="D118" s="110" t="s">
        <v>131</v>
      </c>
      <c r="E118" s="111" t="s">
        <v>138</v>
      </c>
      <c r="F118" s="181" t="s">
        <v>139</v>
      </c>
      <c r="G118" s="181"/>
      <c r="H118" s="181"/>
      <c r="I118" s="181"/>
      <c r="J118" s="112" t="s">
        <v>140</v>
      </c>
      <c r="K118" s="113">
        <f>SUM(K119:K124)</f>
        <v>193.29999999999998</v>
      </c>
      <c r="L118" s="182"/>
      <c r="M118" s="182"/>
      <c r="N118" s="182">
        <f>ROUND($L$118*$K$118,2)</f>
        <v>0</v>
      </c>
      <c r="O118" s="182"/>
      <c r="P118" s="182"/>
      <c r="Q118" s="182"/>
      <c r="R118" s="22"/>
      <c r="T118" s="114"/>
      <c r="U118" s="27" t="s">
        <v>38</v>
      </c>
      <c r="V118" s="115">
        <v>1.22</v>
      </c>
      <c r="W118" s="115">
        <f>$V$118*$K$118</f>
        <v>235.82599999999996</v>
      </c>
      <c r="X118" s="115">
        <v>0.25871</v>
      </c>
      <c r="Y118" s="115">
        <f>$X$118*$K$118</f>
        <v>50.00864299999999</v>
      </c>
      <c r="Z118" s="115">
        <v>0</v>
      </c>
      <c r="AA118" s="116">
        <f>$Z$118*$K$118</f>
        <v>0</v>
      </c>
      <c r="AH118"/>
      <c r="AR118" s="9" t="s">
        <v>135</v>
      </c>
      <c r="AT118" s="9" t="s">
        <v>131</v>
      </c>
      <c r="AU118" s="9" t="s">
        <v>90</v>
      </c>
      <c r="AY118" s="9" t="s">
        <v>130</v>
      </c>
      <c r="BE118" s="91">
        <f>IF($U$118="základní",$N$118,0)</f>
        <v>0</v>
      </c>
      <c r="BF118" s="91">
        <f>IF($U$118="snížená",$N$118,0)</f>
        <v>0</v>
      </c>
      <c r="BG118" s="91">
        <f>IF($U$118="zákl. přenesená",$N$118,0)</f>
        <v>0</v>
      </c>
      <c r="BH118" s="91">
        <f>IF($U$118="sníž. přenesená",$N$118,0)</f>
        <v>0</v>
      </c>
      <c r="BI118" s="91">
        <f>IF($U$118="nulová",$N$118,0)</f>
        <v>0</v>
      </c>
      <c r="BJ118" s="9" t="s">
        <v>17</v>
      </c>
      <c r="BK118" s="91">
        <f>ROUND($L$118*$K$118,2)</f>
        <v>0</v>
      </c>
      <c r="BL118" s="9" t="s">
        <v>135</v>
      </c>
    </row>
    <row r="119" spans="2:51" s="9" customFormat="1" ht="15.75" customHeight="1">
      <c r="B119" s="117"/>
      <c r="E119" s="118"/>
      <c r="F119" s="183" t="s">
        <v>141</v>
      </c>
      <c r="G119" s="183"/>
      <c r="H119" s="183"/>
      <c r="I119" s="183"/>
      <c r="K119" s="119">
        <v>110</v>
      </c>
      <c r="R119" s="120"/>
      <c r="T119" s="121"/>
      <c r="AA119" s="122"/>
      <c r="AT119" s="118" t="s">
        <v>137</v>
      </c>
      <c r="AU119" s="118" t="s">
        <v>90</v>
      </c>
      <c r="AV119" s="118" t="s">
        <v>90</v>
      </c>
      <c r="AW119" s="118" t="s">
        <v>98</v>
      </c>
      <c r="AX119" s="118" t="s">
        <v>73</v>
      </c>
      <c r="AY119" s="118" t="s">
        <v>130</v>
      </c>
    </row>
    <row r="120" spans="2:51" s="9" customFormat="1" ht="15.75" customHeight="1">
      <c r="B120" s="117"/>
      <c r="E120" s="118"/>
      <c r="F120" s="183" t="s">
        <v>142</v>
      </c>
      <c r="G120" s="183"/>
      <c r="H120" s="183"/>
      <c r="I120" s="183"/>
      <c r="K120" s="119">
        <v>12.1</v>
      </c>
      <c r="R120" s="120"/>
      <c r="T120" s="121"/>
      <c r="AA120" s="122"/>
      <c r="AT120" s="118"/>
      <c r="AU120" s="118"/>
      <c r="AV120" s="118"/>
      <c r="AW120" s="118"/>
      <c r="AX120" s="118"/>
      <c r="AY120" s="118"/>
    </row>
    <row r="121" spans="2:51" s="9" customFormat="1" ht="15.75" customHeight="1">
      <c r="B121" s="117"/>
      <c r="E121" s="118"/>
      <c r="F121" s="183" t="s">
        <v>143</v>
      </c>
      <c r="G121" s="183"/>
      <c r="H121" s="183"/>
      <c r="I121" s="183"/>
      <c r="K121" s="119">
        <v>6.5</v>
      </c>
      <c r="R121" s="120"/>
      <c r="T121" s="121"/>
      <c r="AA121" s="122"/>
      <c r="AT121" s="118"/>
      <c r="AU121" s="118"/>
      <c r="AV121" s="118"/>
      <c r="AW121" s="118"/>
      <c r="AX121" s="118"/>
      <c r="AY121" s="118"/>
    </row>
    <row r="122" spans="2:51" s="9" customFormat="1" ht="15.75" customHeight="1">
      <c r="B122" s="117"/>
      <c r="E122" s="118"/>
      <c r="F122" s="183" t="s">
        <v>144</v>
      </c>
      <c r="G122" s="183"/>
      <c r="H122" s="183"/>
      <c r="I122" s="183"/>
      <c r="K122" s="119">
        <v>11.5</v>
      </c>
      <c r="R122" s="120"/>
      <c r="T122" s="121"/>
      <c r="AA122" s="122"/>
      <c r="AT122" s="118"/>
      <c r="AU122" s="118"/>
      <c r="AV122" s="118"/>
      <c r="AW122" s="118"/>
      <c r="AX122" s="118"/>
      <c r="AY122" s="118"/>
    </row>
    <row r="123" spans="2:51" s="9" customFormat="1" ht="15.75" customHeight="1">
      <c r="B123" s="117"/>
      <c r="E123" s="118"/>
      <c r="F123" s="183" t="s">
        <v>145</v>
      </c>
      <c r="G123" s="183"/>
      <c r="H123" s="183"/>
      <c r="I123" s="183"/>
      <c r="K123" s="119">
        <v>23</v>
      </c>
      <c r="R123" s="120"/>
      <c r="T123" s="121"/>
      <c r="AA123" s="122"/>
      <c r="AT123" s="118"/>
      <c r="AU123" s="118"/>
      <c r="AV123" s="118"/>
      <c r="AW123" s="118"/>
      <c r="AX123" s="118"/>
      <c r="AY123" s="118"/>
    </row>
    <row r="124" spans="2:51" s="9" customFormat="1" ht="15.75" customHeight="1">
      <c r="B124" s="117"/>
      <c r="C124" s="9"/>
      <c r="E124" s="118"/>
      <c r="F124" s="183" t="s">
        <v>146</v>
      </c>
      <c r="G124" s="183"/>
      <c r="H124" s="183"/>
      <c r="I124" s="183"/>
      <c r="K124" s="119">
        <v>30.2</v>
      </c>
      <c r="R124" s="120"/>
      <c r="T124" s="121"/>
      <c r="AA124" s="122"/>
      <c r="AT124" s="118"/>
      <c r="AU124" s="118"/>
      <c r="AV124" s="118"/>
      <c r="AW124" s="118"/>
      <c r="AX124" s="118"/>
      <c r="AY124" s="118"/>
    </row>
    <row r="125" spans="2:51" s="9" customFormat="1" ht="15.75" customHeight="1">
      <c r="B125" s="117"/>
      <c r="E125" s="118"/>
      <c r="F125" s="184" t="s">
        <v>147</v>
      </c>
      <c r="G125" s="184"/>
      <c r="H125" s="184"/>
      <c r="I125" s="184"/>
      <c r="J125" s="123"/>
      <c r="K125" s="124">
        <f>K119+K120+K121+K122+K123+K124</f>
        <v>193.29999999999998</v>
      </c>
      <c r="R125" s="120"/>
      <c r="T125" s="121"/>
      <c r="AA125" s="122"/>
      <c r="AT125" s="118" t="s">
        <v>137</v>
      </c>
      <c r="AU125" s="118" t="s">
        <v>90</v>
      </c>
      <c r="AV125" s="118" t="s">
        <v>90</v>
      </c>
      <c r="AW125" s="118" t="s">
        <v>98</v>
      </c>
      <c r="AX125" s="118" t="s">
        <v>73</v>
      </c>
      <c r="AY125" s="118" t="s">
        <v>130</v>
      </c>
    </row>
    <row r="126" spans="2:63" s="100" customFormat="1" ht="30.75" customHeight="1">
      <c r="B126" s="101"/>
      <c r="D126" s="109" t="s">
        <v>101</v>
      </c>
      <c r="N126" s="180">
        <f>$BK$126</f>
        <v>0</v>
      </c>
      <c r="O126" s="180"/>
      <c r="P126" s="180"/>
      <c r="Q126" s="180"/>
      <c r="R126" s="103"/>
      <c r="T126" s="104"/>
      <c r="W126" s="105">
        <f>SUM($W$127:$W$127)</f>
        <v>0.702</v>
      </c>
      <c r="Y126" s="105">
        <f>SUM($Y$127:$Y$127)</f>
        <v>0.09686</v>
      </c>
      <c r="AA126" s="106">
        <f>SUM($AA$127:$AA$127)</f>
        <v>0</v>
      </c>
      <c r="AR126" s="107" t="s">
        <v>17</v>
      </c>
      <c r="AT126" s="107" t="s">
        <v>72</v>
      </c>
      <c r="AU126" s="107" t="s">
        <v>17</v>
      </c>
      <c r="AY126" s="107" t="s">
        <v>130</v>
      </c>
      <c r="BK126" s="108">
        <f>SUM($BK$127:$BK$127)</f>
        <v>0</v>
      </c>
    </row>
    <row r="127" spans="2:64" s="9" customFormat="1" ht="27" customHeight="1">
      <c r="B127" s="21"/>
      <c r="C127" s="110" t="s">
        <v>148</v>
      </c>
      <c r="D127" s="110" t="s">
        <v>131</v>
      </c>
      <c r="E127" s="111" t="s">
        <v>149</v>
      </c>
      <c r="F127" s="181" t="s">
        <v>150</v>
      </c>
      <c r="G127" s="181"/>
      <c r="H127" s="181"/>
      <c r="I127" s="181"/>
      <c r="J127" s="112" t="s">
        <v>151</v>
      </c>
      <c r="K127" s="113">
        <v>1</v>
      </c>
      <c r="L127" s="182"/>
      <c r="M127" s="182"/>
      <c r="N127" s="182">
        <f>ROUND($L$127*$K$127,2)</f>
        <v>0</v>
      </c>
      <c r="O127" s="182"/>
      <c r="P127" s="182"/>
      <c r="Q127" s="182"/>
      <c r="R127" s="22"/>
      <c r="T127" s="114"/>
      <c r="U127" s="27" t="s">
        <v>38</v>
      </c>
      <c r="V127" s="115">
        <v>0.702</v>
      </c>
      <c r="W127" s="115">
        <f>$V$127*$K$127</f>
        <v>0.702</v>
      </c>
      <c r="X127" s="115">
        <v>0.09686</v>
      </c>
      <c r="Y127" s="115">
        <f>$X$127*$K$127</f>
        <v>0.09686</v>
      </c>
      <c r="Z127" s="115">
        <v>0</v>
      </c>
      <c r="AA127" s="116">
        <f>$Z$127*$K$127</f>
        <v>0</v>
      </c>
      <c r="AR127" s="9" t="s">
        <v>152</v>
      </c>
      <c r="AT127" s="9" t="s">
        <v>131</v>
      </c>
      <c r="AU127" s="9" t="s">
        <v>90</v>
      </c>
      <c r="AY127" s="9" t="s">
        <v>130</v>
      </c>
      <c r="BE127" s="91">
        <f>IF($U$127="základní",$N$127,0)</f>
        <v>0</v>
      </c>
      <c r="BF127" s="91">
        <f>IF($U$127="snížená",$N$127,0)</f>
        <v>0</v>
      </c>
      <c r="BG127" s="91">
        <f>IF($U$127="zákl. přenesená",$N$127,0)</f>
        <v>0</v>
      </c>
      <c r="BH127" s="91">
        <f>IF($U$127="sníž. přenesená",$N$127,0)</f>
        <v>0</v>
      </c>
      <c r="BI127" s="91">
        <f>IF($U$127="nulová",$N$127,0)</f>
        <v>0</v>
      </c>
      <c r="BJ127" s="9" t="s">
        <v>17</v>
      </c>
      <c r="BK127" s="91">
        <f>ROUND($L$127*$K$127,2)</f>
        <v>0</v>
      </c>
      <c r="BL127" s="9" t="s">
        <v>152</v>
      </c>
    </row>
    <row r="128" spans="2:63" s="100" customFormat="1" ht="30.75" customHeight="1">
      <c r="B128" s="101"/>
      <c r="D128" s="109" t="s">
        <v>102</v>
      </c>
      <c r="N128" s="180">
        <f>SUM(N129:N184)</f>
        <v>0</v>
      </c>
      <c r="O128" s="180"/>
      <c r="P128" s="180"/>
      <c r="Q128" s="180"/>
      <c r="R128" s="103"/>
      <c r="T128" s="104"/>
      <c r="W128" s="105">
        <f>SUM($W$129:$W$190)</f>
        <v>744.028</v>
      </c>
      <c r="Y128" s="105">
        <f>SUM($Y$129:$Y$190)</f>
        <v>6.734813000000001</v>
      </c>
      <c r="AA128" s="106">
        <f>SUM($AA$129:$AA$190)</f>
        <v>0</v>
      </c>
      <c r="AR128" s="107" t="s">
        <v>17</v>
      </c>
      <c r="AT128" s="107" t="s">
        <v>72</v>
      </c>
      <c r="AU128" s="107" t="s">
        <v>17</v>
      </c>
      <c r="AY128" s="107" t="s">
        <v>130</v>
      </c>
      <c r="BK128" s="108">
        <f>SUM($BK$129:$BK$190)</f>
        <v>0</v>
      </c>
    </row>
    <row r="129" spans="2:64" s="9" customFormat="1" ht="37.5" customHeight="1">
      <c r="B129" s="21"/>
      <c r="C129" s="125">
        <v>3</v>
      </c>
      <c r="D129" s="125" t="s">
        <v>131</v>
      </c>
      <c r="E129" s="126"/>
      <c r="F129" s="185" t="s">
        <v>153</v>
      </c>
      <c r="G129" s="185"/>
      <c r="H129" s="185"/>
      <c r="I129" s="185"/>
      <c r="J129" s="127" t="s">
        <v>134</v>
      </c>
      <c r="K129" s="128">
        <v>53</v>
      </c>
      <c r="L129" s="186"/>
      <c r="M129" s="186"/>
      <c r="N129" s="186">
        <f>ROUND($L$129*$K$129,2)</f>
        <v>0</v>
      </c>
      <c r="O129" s="186"/>
      <c r="P129" s="186"/>
      <c r="Q129" s="186"/>
      <c r="R129" s="22"/>
      <c r="T129" s="114"/>
      <c r="U129" s="27" t="s">
        <v>38</v>
      </c>
      <c r="V129" s="115">
        <v>0.337</v>
      </c>
      <c r="W129" s="115">
        <f>$V$129*$K$129</f>
        <v>17.861</v>
      </c>
      <c r="X129" s="115">
        <v>0.02109</v>
      </c>
      <c r="Y129" s="115">
        <f>$X$129*$K$129</f>
        <v>1.1177700000000002</v>
      </c>
      <c r="Z129" s="115">
        <v>0</v>
      </c>
      <c r="AA129" s="116">
        <f>$Z$129*$K$129</f>
        <v>0</v>
      </c>
      <c r="AR129" s="9" t="s">
        <v>135</v>
      </c>
      <c r="AT129" s="9" t="s">
        <v>131</v>
      </c>
      <c r="AU129" s="9" t="s">
        <v>90</v>
      </c>
      <c r="AY129" s="9" t="s">
        <v>130</v>
      </c>
      <c r="BE129" s="91">
        <f>IF($U$129="základní",$N$129,0)</f>
        <v>0</v>
      </c>
      <c r="BF129" s="91">
        <f>IF($U$129="snížená",$N$129,0)</f>
        <v>0</v>
      </c>
      <c r="BG129" s="91">
        <f>IF($U$129="zákl. přenesená",$N$129,0)</f>
        <v>0</v>
      </c>
      <c r="BH129" s="91">
        <f>IF($U$129="sníž. přenesená",$N$129,0)</f>
        <v>0</v>
      </c>
      <c r="BI129" s="91">
        <f>IF($U$129="nulová",$N$129,0)</f>
        <v>0</v>
      </c>
      <c r="BJ129" s="9" t="s">
        <v>17</v>
      </c>
      <c r="BK129" s="91">
        <f>ROUND($L$129*$K$129,2)</f>
        <v>0</v>
      </c>
      <c r="BL129" s="9" t="s">
        <v>135</v>
      </c>
    </row>
    <row r="130" spans="2:63" s="9" customFormat="1" ht="21.75" customHeight="1">
      <c r="B130" s="21"/>
      <c r="C130" s="110">
        <v>4</v>
      </c>
      <c r="D130" s="110" t="s">
        <v>131</v>
      </c>
      <c r="E130" s="111"/>
      <c r="F130" s="181" t="s">
        <v>154</v>
      </c>
      <c r="G130" s="181"/>
      <c r="H130" s="181"/>
      <c r="I130" s="181"/>
      <c r="J130" s="112" t="s">
        <v>134</v>
      </c>
      <c r="K130" s="113">
        <v>53</v>
      </c>
      <c r="L130" s="182"/>
      <c r="M130" s="182"/>
      <c r="N130" s="182">
        <f>L130*K130</f>
        <v>0</v>
      </c>
      <c r="O130" s="182"/>
      <c r="P130" s="182"/>
      <c r="Q130" s="182"/>
      <c r="R130" s="22"/>
      <c r="T130" s="114"/>
      <c r="U130" s="27"/>
      <c r="V130" s="115"/>
      <c r="W130" s="115"/>
      <c r="X130" s="115"/>
      <c r="Y130" s="115"/>
      <c r="Z130" s="115"/>
      <c r="AA130" s="116"/>
      <c r="BE130" s="91"/>
      <c r="BF130" s="91"/>
      <c r="BG130" s="91"/>
      <c r="BH130" s="91"/>
      <c r="BI130" s="91"/>
      <c r="BK130" s="91"/>
    </row>
    <row r="131" spans="1:256" ht="15" customHeight="1">
      <c r="A131"/>
      <c r="B131" s="117"/>
      <c r="C131" s="9"/>
      <c r="D131" s="9"/>
      <c r="E131" s="118"/>
      <c r="F131" s="183">
        <v>53</v>
      </c>
      <c r="G131" s="183"/>
      <c r="H131" s="183"/>
      <c r="I131" s="183"/>
      <c r="J131" s="9"/>
      <c r="K131" s="119">
        <v>53</v>
      </c>
      <c r="L131" s="9"/>
      <c r="M131" s="9"/>
      <c r="N131" s="9"/>
      <c r="O131" s="9"/>
      <c r="P131" s="9"/>
      <c r="Q131" s="9"/>
      <c r="R131" s="120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63" s="9" customFormat="1" ht="37.5" customHeight="1">
      <c r="B132" s="21"/>
      <c r="C132" s="110">
        <v>5</v>
      </c>
      <c r="D132" s="110" t="s">
        <v>131</v>
      </c>
      <c r="E132" s="111" t="s">
        <v>155</v>
      </c>
      <c r="F132" s="181" t="s">
        <v>156</v>
      </c>
      <c r="G132" s="181"/>
      <c r="H132" s="181"/>
      <c r="I132" s="181"/>
      <c r="J132" s="112" t="s">
        <v>140</v>
      </c>
      <c r="K132" s="113">
        <v>1151.8</v>
      </c>
      <c r="L132" s="182"/>
      <c r="M132" s="182"/>
      <c r="N132" s="182">
        <f>ROUND($L$132*$K$132,2)</f>
        <v>0</v>
      </c>
      <c r="O132" s="182"/>
      <c r="P132" s="182"/>
      <c r="Q132" s="182"/>
      <c r="R132" s="22"/>
      <c r="T132" s="114"/>
      <c r="U132" s="27"/>
      <c r="V132" s="115"/>
      <c r="W132" s="115"/>
      <c r="X132" s="115"/>
      <c r="Y132" s="115"/>
      <c r="Z132" s="115"/>
      <c r="AA132" s="116"/>
      <c r="BE132" s="91"/>
      <c r="BF132" s="91"/>
      <c r="BG132" s="91"/>
      <c r="BH132" s="91"/>
      <c r="BI132" s="91"/>
      <c r="BK132" s="91"/>
    </row>
    <row r="133" spans="1:256" ht="15" customHeight="1">
      <c r="A133"/>
      <c r="B133" s="117"/>
      <c r="C133" s="9"/>
      <c r="D133" s="9"/>
      <c r="E133" s="118"/>
      <c r="F133" s="183" t="s">
        <v>157</v>
      </c>
      <c r="G133" s="183"/>
      <c r="H133" s="183"/>
      <c r="I133" s="183"/>
      <c r="J133" s="9"/>
      <c r="K133" s="119">
        <v>229.8</v>
      </c>
      <c r="L133" s="9"/>
      <c r="M133" s="9"/>
      <c r="N133" s="9"/>
      <c r="O133" s="9"/>
      <c r="P133" s="9"/>
      <c r="Q133" s="9"/>
      <c r="R133" s="120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5" customHeight="1">
      <c r="A134"/>
      <c r="B134" s="117"/>
      <c r="C134" s="9"/>
      <c r="D134" s="9"/>
      <c r="E134" s="118"/>
      <c r="F134" s="183" t="s">
        <v>158</v>
      </c>
      <c r="G134" s="183"/>
      <c r="H134" s="183"/>
      <c r="I134" s="183"/>
      <c r="J134" s="9"/>
      <c r="K134" s="119">
        <v>187.1</v>
      </c>
      <c r="L134" s="9"/>
      <c r="M134" s="9"/>
      <c r="N134" s="9"/>
      <c r="O134" s="9"/>
      <c r="P134" s="9"/>
      <c r="Q134" s="9"/>
      <c r="R134" s="120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5" customHeight="1">
      <c r="A135"/>
      <c r="B135" s="117"/>
      <c r="C135" s="9"/>
      <c r="D135" s="9"/>
      <c r="E135" s="118"/>
      <c r="F135" s="183" t="s">
        <v>159</v>
      </c>
      <c r="G135" s="183"/>
      <c r="H135" s="183"/>
      <c r="I135" s="183"/>
      <c r="J135" s="9"/>
      <c r="K135" s="119">
        <v>97.6</v>
      </c>
      <c r="L135" s="9"/>
      <c r="M135" s="9"/>
      <c r="N135" s="9"/>
      <c r="O135" s="9"/>
      <c r="P135" s="9"/>
      <c r="Q135" s="9"/>
      <c r="R135" s="120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" customHeight="1">
      <c r="A136"/>
      <c r="B136" s="117"/>
      <c r="C136" s="9"/>
      <c r="D136" s="9"/>
      <c r="E136" s="118"/>
      <c r="F136" s="183" t="s">
        <v>160</v>
      </c>
      <c r="G136" s="183"/>
      <c r="H136" s="183"/>
      <c r="I136" s="183"/>
      <c r="J136" s="9"/>
      <c r="K136" s="119">
        <v>182.1</v>
      </c>
      <c r="L136" s="9"/>
      <c r="M136" s="9"/>
      <c r="N136" s="9"/>
      <c r="O136" s="9"/>
      <c r="P136" s="9"/>
      <c r="Q136" s="9"/>
      <c r="R136" s="120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" customHeight="1">
      <c r="A137"/>
      <c r="B137" s="117"/>
      <c r="C137" s="9"/>
      <c r="D137" s="9"/>
      <c r="E137" s="118"/>
      <c r="F137" s="183" t="s">
        <v>161</v>
      </c>
      <c r="G137" s="183"/>
      <c r="H137" s="183"/>
      <c r="I137" s="183"/>
      <c r="J137" s="9"/>
      <c r="K137" s="119">
        <v>455.2</v>
      </c>
      <c r="L137" s="9"/>
      <c r="M137" s="9"/>
      <c r="N137" s="9"/>
      <c r="O137" s="9"/>
      <c r="P137" s="9"/>
      <c r="Q137" s="9"/>
      <c r="R137" s="120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" customHeight="1">
      <c r="A138"/>
      <c r="B138" s="129"/>
      <c r="C138" s="9"/>
      <c r="D138" s="9"/>
      <c r="E138" s="130"/>
      <c r="F138" s="187" t="s">
        <v>147</v>
      </c>
      <c r="G138" s="187"/>
      <c r="H138" s="187"/>
      <c r="I138" s="187"/>
      <c r="J138" s="9"/>
      <c r="K138" s="132">
        <f>SUM(K133:K137)</f>
        <v>1151.8</v>
      </c>
      <c r="L138" s="9"/>
      <c r="M138" s="9"/>
      <c r="N138" s="9"/>
      <c r="O138" s="9"/>
      <c r="P138" s="9"/>
      <c r="Q138" s="9"/>
      <c r="R138" s="133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63" s="9" customFormat="1" ht="36" customHeight="1">
      <c r="B139" s="21"/>
      <c r="C139" s="110">
        <v>6</v>
      </c>
      <c r="D139" s="110" t="s">
        <v>131</v>
      </c>
      <c r="E139" s="111" t="s">
        <v>162</v>
      </c>
      <c r="F139" s="181" t="s">
        <v>163</v>
      </c>
      <c r="G139" s="181"/>
      <c r="H139" s="181"/>
      <c r="I139" s="181"/>
      <c r="J139" s="112" t="s">
        <v>140</v>
      </c>
      <c r="K139" s="113">
        <v>1071.2</v>
      </c>
      <c r="L139" s="182"/>
      <c r="M139" s="182"/>
      <c r="N139" s="182">
        <f>ROUND($L$139*$K$139,2)</f>
        <v>0</v>
      </c>
      <c r="O139" s="182"/>
      <c r="P139" s="182"/>
      <c r="Q139" s="182"/>
      <c r="R139" s="22"/>
      <c r="T139" s="114"/>
      <c r="U139" s="27"/>
      <c r="V139" s="115"/>
      <c r="W139" s="115"/>
      <c r="X139" s="115"/>
      <c r="Y139" s="115"/>
      <c r="Z139" s="115"/>
      <c r="AA139" s="116"/>
      <c r="BE139" s="91"/>
      <c r="BF139" s="91"/>
      <c r="BG139" s="91"/>
      <c r="BH139" s="91"/>
      <c r="BI139" s="91"/>
      <c r="BK139" s="91"/>
    </row>
    <row r="140" spans="2:51" s="9" customFormat="1" ht="15.75" customHeight="1">
      <c r="B140" s="117"/>
      <c r="E140" s="118"/>
      <c r="F140" s="183" t="s">
        <v>164</v>
      </c>
      <c r="G140" s="183"/>
      <c r="H140" s="183"/>
      <c r="I140" s="183"/>
      <c r="K140" s="119">
        <v>209.5</v>
      </c>
      <c r="R140" s="120"/>
      <c r="T140" s="121"/>
      <c r="AA140" s="122"/>
      <c r="AT140" s="118" t="s">
        <v>137</v>
      </c>
      <c r="AU140" s="118" t="s">
        <v>90</v>
      </c>
      <c r="AV140" s="118" t="s">
        <v>90</v>
      </c>
      <c r="AW140" s="118" t="s">
        <v>98</v>
      </c>
      <c r="AX140" s="118" t="s">
        <v>73</v>
      </c>
      <c r="AY140" s="118" t="s">
        <v>130</v>
      </c>
    </row>
    <row r="141" spans="2:51" s="9" customFormat="1" ht="15.75" customHeight="1">
      <c r="B141" s="117"/>
      <c r="E141" s="118"/>
      <c r="F141" s="183" t="s">
        <v>165</v>
      </c>
      <c r="G141" s="183"/>
      <c r="H141" s="183"/>
      <c r="I141" s="183"/>
      <c r="K141" s="119">
        <v>175</v>
      </c>
      <c r="R141" s="120"/>
      <c r="T141" s="121"/>
      <c r="AA141" s="122"/>
      <c r="AT141" s="118"/>
      <c r="AU141" s="118"/>
      <c r="AV141" s="118"/>
      <c r="AW141" s="118"/>
      <c r="AX141" s="118"/>
      <c r="AY141" s="118"/>
    </row>
    <row r="142" spans="2:51" s="9" customFormat="1" ht="15.75" customHeight="1">
      <c r="B142" s="117"/>
      <c r="E142" s="118"/>
      <c r="F142" s="183" t="s">
        <v>166</v>
      </c>
      <c r="G142" s="183"/>
      <c r="H142" s="183"/>
      <c r="I142" s="183"/>
      <c r="K142" s="119">
        <v>91.1</v>
      </c>
      <c r="R142" s="120"/>
      <c r="T142" s="121"/>
      <c r="AA142" s="122"/>
      <c r="AT142" s="118"/>
      <c r="AU142" s="118"/>
      <c r="AV142" s="118"/>
      <c r="AW142" s="118"/>
      <c r="AX142" s="118"/>
      <c r="AY142" s="118"/>
    </row>
    <row r="143" spans="2:51" s="9" customFormat="1" ht="15.75" customHeight="1">
      <c r="B143" s="117"/>
      <c r="E143" s="118"/>
      <c r="F143" s="183" t="s">
        <v>167</v>
      </c>
      <c r="G143" s="183"/>
      <c r="H143" s="183"/>
      <c r="I143" s="183"/>
      <c r="K143" s="119">
        <v>170.6</v>
      </c>
      <c r="R143" s="120"/>
      <c r="T143" s="121"/>
      <c r="AA143" s="122"/>
      <c r="AT143" s="118"/>
      <c r="AU143" s="118"/>
      <c r="AV143" s="118"/>
      <c r="AW143" s="118"/>
      <c r="AX143" s="118"/>
      <c r="AY143" s="118"/>
    </row>
    <row r="144" spans="2:51" s="9" customFormat="1" ht="15.75" customHeight="1">
      <c r="B144" s="117"/>
      <c r="E144" s="118"/>
      <c r="F144" s="183" t="s">
        <v>168</v>
      </c>
      <c r="G144" s="183"/>
      <c r="H144" s="183"/>
      <c r="I144" s="183"/>
      <c r="K144" s="119">
        <v>425</v>
      </c>
      <c r="R144" s="120"/>
      <c r="T144" s="121"/>
      <c r="AA144" s="122"/>
      <c r="AT144" s="118" t="s">
        <v>137</v>
      </c>
      <c r="AU144" s="118" t="s">
        <v>90</v>
      </c>
      <c r="AV144" s="118" t="s">
        <v>90</v>
      </c>
      <c r="AW144" s="118" t="s">
        <v>98</v>
      </c>
      <c r="AX144" s="118" t="s">
        <v>73</v>
      </c>
      <c r="AY144" s="118" t="s">
        <v>130</v>
      </c>
    </row>
    <row r="145" spans="2:51" s="9" customFormat="1" ht="15.75" customHeight="1">
      <c r="B145" s="129"/>
      <c r="E145" s="130"/>
      <c r="F145" s="187" t="s">
        <v>147</v>
      </c>
      <c r="G145" s="187"/>
      <c r="H145" s="187"/>
      <c r="I145" s="187"/>
      <c r="K145" s="132">
        <f>SUM(K140:K144)</f>
        <v>1071.2</v>
      </c>
      <c r="R145" s="133"/>
      <c r="T145" s="134"/>
      <c r="AA145" s="135"/>
      <c r="AT145" s="130" t="s">
        <v>137</v>
      </c>
      <c r="AU145" s="130" t="s">
        <v>90</v>
      </c>
      <c r="AV145" s="130" t="s">
        <v>135</v>
      </c>
      <c r="AW145" s="130" t="s">
        <v>73</v>
      </c>
      <c r="AX145" s="130" t="s">
        <v>17</v>
      </c>
      <c r="AY145" s="130" t="s">
        <v>130</v>
      </c>
    </row>
    <row r="146" spans="2:64" s="9" customFormat="1" ht="27" customHeight="1">
      <c r="B146" s="21"/>
      <c r="C146" s="110">
        <v>7</v>
      </c>
      <c r="D146" s="110" t="s">
        <v>131</v>
      </c>
      <c r="E146" s="111" t="s">
        <v>169</v>
      </c>
      <c r="F146" s="181" t="s">
        <v>170</v>
      </c>
      <c r="G146" s="181"/>
      <c r="H146" s="181"/>
      <c r="I146" s="181"/>
      <c r="J146" s="112" t="s">
        <v>140</v>
      </c>
      <c r="K146" s="113">
        <v>1151.8</v>
      </c>
      <c r="L146" s="182"/>
      <c r="M146" s="182"/>
      <c r="N146" s="182">
        <f>ROUND($L$146*$K$146,2)</f>
        <v>0</v>
      </c>
      <c r="O146" s="182"/>
      <c r="P146" s="182"/>
      <c r="Q146" s="182"/>
      <c r="R146" s="22"/>
      <c r="T146" s="114"/>
      <c r="U146" s="27" t="s">
        <v>38</v>
      </c>
      <c r="V146" s="115">
        <v>0</v>
      </c>
      <c r="W146" s="115">
        <f>$V$146*$K$146</f>
        <v>0</v>
      </c>
      <c r="X146" s="115">
        <v>0</v>
      </c>
      <c r="Y146" s="115">
        <f>$X$146*$K$146</f>
        <v>0</v>
      </c>
      <c r="Z146" s="115">
        <v>0</v>
      </c>
      <c r="AA146" s="116">
        <f>$Z$146*$K$146</f>
        <v>0</v>
      </c>
      <c r="AR146" s="9" t="s">
        <v>135</v>
      </c>
      <c r="AT146" s="9" t="s">
        <v>131</v>
      </c>
      <c r="AU146" s="9" t="s">
        <v>90</v>
      </c>
      <c r="AY146" s="9" t="s">
        <v>130</v>
      </c>
      <c r="BE146" s="91">
        <f>IF($U$146="základní",$N$146,0)</f>
        <v>0</v>
      </c>
      <c r="BF146" s="91">
        <f>IF($U$146="snížená",$N$146,0)</f>
        <v>0</v>
      </c>
      <c r="BG146" s="91">
        <f>IF($U$146="zákl. přenesená",$N$146,0)</f>
        <v>0</v>
      </c>
      <c r="BH146" s="91">
        <f>IF($U$146="sníž. přenesená",$N$146,0)</f>
        <v>0</v>
      </c>
      <c r="BI146" s="91">
        <f>IF($U$146="nulová",$N$146,0)</f>
        <v>0</v>
      </c>
      <c r="BJ146" s="9" t="s">
        <v>17</v>
      </c>
      <c r="BK146" s="91">
        <f>ROUND($L$146*$K$146,2)</f>
        <v>0</v>
      </c>
      <c r="BL146" s="9" t="s">
        <v>135</v>
      </c>
    </row>
    <row r="147" spans="2:51" s="9" customFormat="1" ht="25.5" customHeight="1">
      <c r="B147" s="117"/>
      <c r="E147" s="118"/>
      <c r="F147" s="183" t="s">
        <v>171</v>
      </c>
      <c r="G147" s="183"/>
      <c r="H147" s="183"/>
      <c r="I147" s="183"/>
      <c r="K147" s="119">
        <v>1151.8</v>
      </c>
      <c r="R147" s="120"/>
      <c r="T147" s="121"/>
      <c r="AA147" s="122"/>
      <c r="AT147" s="118" t="s">
        <v>137</v>
      </c>
      <c r="AU147" s="118" t="s">
        <v>90</v>
      </c>
      <c r="AV147" s="118" t="s">
        <v>90</v>
      </c>
      <c r="AW147" s="118" t="s">
        <v>98</v>
      </c>
      <c r="AX147" s="118" t="s">
        <v>73</v>
      </c>
      <c r="AY147" s="118" t="s">
        <v>130</v>
      </c>
    </row>
    <row r="148" spans="2:51" s="9" customFormat="1" ht="15.75" customHeight="1">
      <c r="B148" s="129"/>
      <c r="E148" s="130"/>
      <c r="F148" s="187" t="s">
        <v>147</v>
      </c>
      <c r="G148" s="187"/>
      <c r="H148" s="187"/>
      <c r="I148" s="187"/>
      <c r="K148" s="132">
        <f>209.5+175+12.1+91.1+6.5+170.6+11.5+425+30.2+20.3</f>
        <v>1151.8000000000002</v>
      </c>
      <c r="R148" s="133"/>
      <c r="T148" s="134"/>
      <c r="AA148" s="135"/>
      <c r="AT148" s="130" t="s">
        <v>137</v>
      </c>
      <c r="AU148" s="130" t="s">
        <v>90</v>
      </c>
      <c r="AV148" s="130" t="s">
        <v>135</v>
      </c>
      <c r="AW148" s="130" t="s">
        <v>98</v>
      </c>
      <c r="AX148" s="130" t="s">
        <v>17</v>
      </c>
      <c r="AY148" s="130" t="s">
        <v>130</v>
      </c>
    </row>
    <row r="149" spans="2:64" s="9" customFormat="1" ht="51" customHeight="1">
      <c r="B149" s="21"/>
      <c r="C149" s="110">
        <v>8</v>
      </c>
      <c r="D149" s="110" t="s">
        <v>131</v>
      </c>
      <c r="E149" s="111" t="s">
        <v>172</v>
      </c>
      <c r="F149" s="181" t="s">
        <v>173</v>
      </c>
      <c r="G149" s="181"/>
      <c r="H149" s="181"/>
      <c r="I149" s="181"/>
      <c r="J149" s="112" t="s">
        <v>140</v>
      </c>
      <c r="K149" s="113">
        <v>1071.2</v>
      </c>
      <c r="L149" s="182"/>
      <c r="M149" s="182"/>
      <c r="N149" s="182">
        <f>ROUND($L$149*$K$149,2)</f>
        <v>0</v>
      </c>
      <c r="O149" s="182"/>
      <c r="P149" s="182"/>
      <c r="Q149" s="182"/>
      <c r="R149" s="22"/>
      <c r="T149" s="114"/>
      <c r="U149" s="27" t="s">
        <v>38</v>
      </c>
      <c r="V149" s="115">
        <v>0.19</v>
      </c>
      <c r="W149" s="115">
        <f>$V$149*$K$149</f>
        <v>203.52800000000002</v>
      </c>
      <c r="X149" s="115">
        <v>0.0006</v>
      </c>
      <c r="Y149" s="115">
        <f>$X$149*$K$149</f>
        <v>0.64272</v>
      </c>
      <c r="Z149" s="115">
        <v>0</v>
      </c>
      <c r="AA149" s="116">
        <f>$Z$149*$K$149</f>
        <v>0</v>
      </c>
      <c r="AR149" s="9" t="s">
        <v>135</v>
      </c>
      <c r="AT149" s="9" t="s">
        <v>131</v>
      </c>
      <c r="AU149" s="9" t="s">
        <v>90</v>
      </c>
      <c r="AY149" s="9" t="s">
        <v>130</v>
      </c>
      <c r="BE149" s="91">
        <f>IF($U$149="základní",$N$149,0)</f>
        <v>0</v>
      </c>
      <c r="BF149" s="91">
        <f>IF($U$149="snížená",$N$149,0)</f>
        <v>0</v>
      </c>
      <c r="BG149" s="91">
        <f>IF($U$149="zákl. přenesená",$N$149,0)</f>
        <v>0</v>
      </c>
      <c r="BH149" s="91">
        <f>IF($U$149="sníž. přenesená",$N$149,0)</f>
        <v>0</v>
      </c>
      <c r="BI149" s="91">
        <f>IF($U$149="nulová",$N$149,0)</f>
        <v>0</v>
      </c>
      <c r="BJ149" s="9" t="s">
        <v>17</v>
      </c>
      <c r="BK149" s="91">
        <f>ROUND($L$149*$K$149,2)</f>
        <v>0</v>
      </c>
      <c r="BL149" s="9" t="s">
        <v>135</v>
      </c>
    </row>
    <row r="150" spans="2:51" s="9" customFormat="1" ht="15.75" customHeight="1">
      <c r="B150" s="117"/>
      <c r="E150" s="118"/>
      <c r="F150" s="183" t="s">
        <v>164</v>
      </c>
      <c r="G150" s="183"/>
      <c r="H150" s="183"/>
      <c r="I150" s="183"/>
      <c r="K150" s="119">
        <v>209.5</v>
      </c>
      <c r="R150" s="120"/>
      <c r="T150" s="121"/>
      <c r="AA150" s="122"/>
      <c r="AT150" s="118" t="s">
        <v>137</v>
      </c>
      <c r="AU150" s="118" t="s">
        <v>90</v>
      </c>
      <c r="AV150" s="118" t="s">
        <v>90</v>
      </c>
      <c r="AW150" s="118" t="s">
        <v>98</v>
      </c>
      <c r="AX150" s="118" t="s">
        <v>73</v>
      </c>
      <c r="AY150" s="118" t="s">
        <v>130</v>
      </c>
    </row>
    <row r="151" spans="2:51" s="9" customFormat="1" ht="15.75" customHeight="1">
      <c r="B151" s="117"/>
      <c r="E151" s="118"/>
      <c r="F151" s="183" t="s">
        <v>165</v>
      </c>
      <c r="G151" s="183"/>
      <c r="H151" s="183"/>
      <c r="I151" s="183"/>
      <c r="K151" s="119">
        <v>175</v>
      </c>
      <c r="R151" s="120"/>
      <c r="T151" s="121"/>
      <c r="AA151" s="122"/>
      <c r="AT151" s="118"/>
      <c r="AU151" s="118"/>
      <c r="AV151" s="118"/>
      <c r="AW151" s="118"/>
      <c r="AX151" s="118"/>
      <c r="AY151" s="118"/>
    </row>
    <row r="152" spans="2:51" s="9" customFormat="1" ht="15.75" customHeight="1">
      <c r="B152" s="117"/>
      <c r="E152" s="118"/>
      <c r="F152" s="183" t="s">
        <v>166</v>
      </c>
      <c r="G152" s="183"/>
      <c r="H152" s="183"/>
      <c r="I152" s="183"/>
      <c r="K152" s="119">
        <v>91.1</v>
      </c>
      <c r="R152" s="120"/>
      <c r="T152" s="121"/>
      <c r="AA152" s="122"/>
      <c r="AT152" s="118"/>
      <c r="AU152" s="118"/>
      <c r="AV152" s="118"/>
      <c r="AW152" s="118"/>
      <c r="AX152" s="118"/>
      <c r="AY152" s="118"/>
    </row>
    <row r="153" spans="2:51" s="9" customFormat="1" ht="15.75" customHeight="1">
      <c r="B153" s="117"/>
      <c r="E153" s="118"/>
      <c r="F153" s="183" t="s">
        <v>167</v>
      </c>
      <c r="G153" s="183"/>
      <c r="H153" s="183"/>
      <c r="I153" s="183"/>
      <c r="K153" s="119">
        <v>170.6</v>
      </c>
      <c r="R153" s="120"/>
      <c r="T153" s="121"/>
      <c r="AA153" s="122"/>
      <c r="AT153" s="118"/>
      <c r="AU153" s="118"/>
      <c r="AV153" s="118"/>
      <c r="AW153" s="118"/>
      <c r="AX153" s="118"/>
      <c r="AY153" s="118"/>
    </row>
    <row r="154" spans="2:51" s="9" customFormat="1" ht="15.75" customHeight="1">
      <c r="B154" s="117"/>
      <c r="E154" s="118"/>
      <c r="F154" s="183" t="s">
        <v>168</v>
      </c>
      <c r="G154" s="183"/>
      <c r="H154" s="183"/>
      <c r="I154" s="183"/>
      <c r="K154" s="119">
        <v>425</v>
      </c>
      <c r="R154" s="120"/>
      <c r="T154" s="121"/>
      <c r="AA154" s="122"/>
      <c r="AT154" s="118" t="s">
        <v>137</v>
      </c>
      <c r="AU154" s="118" t="s">
        <v>90</v>
      </c>
      <c r="AV154" s="118" t="s">
        <v>90</v>
      </c>
      <c r="AW154" s="118" t="s">
        <v>98</v>
      </c>
      <c r="AX154" s="118" t="s">
        <v>73</v>
      </c>
      <c r="AY154" s="118" t="s">
        <v>130</v>
      </c>
    </row>
    <row r="155" spans="2:51" s="9" customFormat="1" ht="15.75" customHeight="1">
      <c r="B155" s="129"/>
      <c r="E155" s="130"/>
      <c r="F155" s="187" t="s">
        <v>147</v>
      </c>
      <c r="G155" s="187"/>
      <c r="H155" s="187"/>
      <c r="I155" s="187"/>
      <c r="K155" s="132">
        <f>K150+K151+K152+K153+K154</f>
        <v>1071.2</v>
      </c>
      <c r="R155" s="133"/>
      <c r="T155" s="134"/>
      <c r="AA155" s="135"/>
      <c r="AT155" s="130" t="s">
        <v>137</v>
      </c>
      <c r="AU155" s="130" t="s">
        <v>90</v>
      </c>
      <c r="AV155" s="130" t="s">
        <v>135</v>
      </c>
      <c r="AW155" s="130" t="s">
        <v>98</v>
      </c>
      <c r="AX155" s="130" t="s">
        <v>17</v>
      </c>
      <c r="AY155" s="130" t="s">
        <v>130</v>
      </c>
    </row>
    <row r="156" spans="2:64" s="9" customFormat="1" ht="51" customHeight="1">
      <c r="B156" s="21"/>
      <c r="C156" s="110">
        <v>9</v>
      </c>
      <c r="D156" s="110" t="s">
        <v>131</v>
      </c>
      <c r="E156" s="111" t="s">
        <v>174</v>
      </c>
      <c r="F156" s="181" t="s">
        <v>175</v>
      </c>
      <c r="G156" s="181"/>
      <c r="H156" s="181"/>
      <c r="I156" s="181"/>
      <c r="J156" s="112" t="s">
        <v>140</v>
      </c>
      <c r="K156" s="113">
        <v>80.6</v>
      </c>
      <c r="L156" s="182"/>
      <c r="M156" s="182"/>
      <c r="N156" s="182">
        <f>ROUND($L$156*$K$156,2)</f>
        <v>0</v>
      </c>
      <c r="O156" s="182"/>
      <c r="P156" s="182"/>
      <c r="Q156" s="182"/>
      <c r="R156" s="22"/>
      <c r="T156" s="114"/>
      <c r="U156" s="27" t="s">
        <v>38</v>
      </c>
      <c r="V156" s="115">
        <v>0.19</v>
      </c>
      <c r="W156" s="115">
        <f>$V$156*$K$156</f>
        <v>15.313999999999998</v>
      </c>
      <c r="X156" s="115">
        <v>0.0006</v>
      </c>
      <c r="Y156" s="115">
        <f>$X$156*$K$156</f>
        <v>0.04835999999999999</v>
      </c>
      <c r="Z156" s="115">
        <v>0</v>
      </c>
      <c r="AA156" s="116">
        <f>$Z$156*$K$156</f>
        <v>0</v>
      </c>
      <c r="AR156" s="9" t="s">
        <v>135</v>
      </c>
      <c r="AT156" s="9" t="s">
        <v>131</v>
      </c>
      <c r="AU156" s="9" t="s">
        <v>90</v>
      </c>
      <c r="AY156" s="9" t="s">
        <v>130</v>
      </c>
      <c r="BE156" s="91">
        <f>IF($U$156="základní",$N$156,0)</f>
        <v>0</v>
      </c>
      <c r="BF156" s="91">
        <f>IF($U$156="snížená",$N$156,0)</f>
        <v>0</v>
      </c>
      <c r="BG156" s="91">
        <f>IF($U$156="zákl. přenesená",$N$156,0)</f>
        <v>0</v>
      </c>
      <c r="BH156" s="91">
        <f>IF($U$156="sníž. přenesená",$N$156,0)</f>
        <v>0</v>
      </c>
      <c r="BI156" s="91">
        <f>IF($U$156="nulová",$N$156,0)</f>
        <v>0</v>
      </c>
      <c r="BJ156" s="9" t="s">
        <v>17</v>
      </c>
      <c r="BK156" s="91">
        <f>ROUND($L$156*$K$156,2)</f>
        <v>0</v>
      </c>
      <c r="BL156" s="9" t="s">
        <v>135</v>
      </c>
    </row>
    <row r="157" spans="2:51" s="9" customFormat="1" ht="15.75" customHeight="1">
      <c r="B157" s="117"/>
      <c r="E157" s="118"/>
      <c r="F157" s="183" t="s">
        <v>176</v>
      </c>
      <c r="G157" s="183"/>
      <c r="H157" s="183"/>
      <c r="I157" s="183"/>
      <c r="K157" s="119">
        <v>20.3</v>
      </c>
      <c r="R157" s="120"/>
      <c r="T157" s="121"/>
      <c r="AA157" s="122"/>
      <c r="AT157" s="118" t="s">
        <v>137</v>
      </c>
      <c r="AU157" s="118" t="s">
        <v>90</v>
      </c>
      <c r="AV157" s="118" t="s">
        <v>90</v>
      </c>
      <c r="AW157" s="118" t="s">
        <v>98</v>
      </c>
      <c r="AX157" s="118" t="s">
        <v>73</v>
      </c>
      <c r="AY157" s="118" t="s">
        <v>130</v>
      </c>
    </row>
    <row r="158" spans="2:51" s="9" customFormat="1" ht="15.75" customHeight="1">
      <c r="B158" s="117"/>
      <c r="E158" s="118"/>
      <c r="F158" s="183" t="s">
        <v>142</v>
      </c>
      <c r="G158" s="183"/>
      <c r="H158" s="183"/>
      <c r="I158" s="183"/>
      <c r="K158" s="119">
        <v>12.1</v>
      </c>
      <c r="R158" s="120"/>
      <c r="T158" s="121"/>
      <c r="AA158" s="122"/>
      <c r="AT158" s="118"/>
      <c r="AU158" s="118"/>
      <c r="AV158" s="118"/>
      <c r="AW158" s="118"/>
      <c r="AX158" s="118"/>
      <c r="AY158" s="118"/>
    </row>
    <row r="159" spans="2:51" s="9" customFormat="1" ht="15.75" customHeight="1">
      <c r="B159" s="117"/>
      <c r="E159" s="118"/>
      <c r="F159" s="183" t="s">
        <v>143</v>
      </c>
      <c r="G159" s="183"/>
      <c r="H159" s="183"/>
      <c r="I159" s="183"/>
      <c r="K159" s="119">
        <v>6.5</v>
      </c>
      <c r="R159" s="120"/>
      <c r="T159" s="121"/>
      <c r="AA159" s="122"/>
      <c r="AT159" s="118"/>
      <c r="AU159" s="118"/>
      <c r="AV159" s="118"/>
      <c r="AW159" s="118"/>
      <c r="AX159" s="118"/>
      <c r="AY159" s="118"/>
    </row>
    <row r="160" spans="2:51" s="9" customFormat="1" ht="15.75" customHeight="1">
      <c r="B160" s="117"/>
      <c r="E160" s="118"/>
      <c r="F160" s="183" t="s">
        <v>177</v>
      </c>
      <c r="G160" s="183"/>
      <c r="H160" s="183"/>
      <c r="I160" s="183"/>
      <c r="K160" s="119">
        <v>11.5</v>
      </c>
      <c r="R160" s="120"/>
      <c r="T160" s="121"/>
      <c r="AA160" s="122"/>
      <c r="AT160" s="118"/>
      <c r="AU160" s="118"/>
      <c r="AV160" s="118"/>
      <c r="AW160" s="118"/>
      <c r="AX160" s="118"/>
      <c r="AY160" s="118"/>
    </row>
    <row r="161" spans="2:51" s="9" customFormat="1" ht="15.75" customHeight="1">
      <c r="B161" s="117"/>
      <c r="E161" s="118"/>
      <c r="F161" s="183" t="s">
        <v>146</v>
      </c>
      <c r="G161" s="183"/>
      <c r="H161" s="183"/>
      <c r="I161" s="183"/>
      <c r="K161" s="119">
        <v>30.2</v>
      </c>
      <c r="R161" s="120"/>
      <c r="T161" s="121"/>
      <c r="AA161" s="122"/>
      <c r="AT161" s="118" t="s">
        <v>137</v>
      </c>
      <c r="AU161" s="118" t="s">
        <v>90</v>
      </c>
      <c r="AV161" s="118" t="s">
        <v>90</v>
      </c>
      <c r="AW161" s="118" t="s">
        <v>98</v>
      </c>
      <c r="AX161" s="118" t="s">
        <v>73</v>
      </c>
      <c r="AY161" s="118" t="s">
        <v>130</v>
      </c>
    </row>
    <row r="162" spans="2:51" s="9" customFormat="1" ht="15.75" customHeight="1">
      <c r="B162" s="129"/>
      <c r="E162" s="130"/>
      <c r="F162" s="187" t="s">
        <v>147</v>
      </c>
      <c r="G162" s="187"/>
      <c r="H162" s="187"/>
      <c r="I162" s="187"/>
      <c r="K162" s="132">
        <f>K157+K158+K159+K160+K161</f>
        <v>80.6</v>
      </c>
      <c r="R162" s="133"/>
      <c r="T162" s="134"/>
      <c r="AA162" s="135"/>
      <c r="AT162" s="130" t="s">
        <v>137</v>
      </c>
      <c r="AU162" s="130" t="s">
        <v>90</v>
      </c>
      <c r="AV162" s="130" t="s">
        <v>135</v>
      </c>
      <c r="AW162" s="130" t="s">
        <v>98</v>
      </c>
      <c r="AX162" s="130" t="s">
        <v>17</v>
      </c>
      <c r="AY162" s="130" t="s">
        <v>130</v>
      </c>
    </row>
    <row r="163" spans="2:64" s="9" customFormat="1" ht="27" customHeight="1">
      <c r="B163" s="21"/>
      <c r="C163" s="110" t="s">
        <v>22</v>
      </c>
      <c r="D163" s="110" t="s">
        <v>131</v>
      </c>
      <c r="E163" s="111" t="s">
        <v>178</v>
      </c>
      <c r="F163" s="181" t="s">
        <v>179</v>
      </c>
      <c r="G163" s="181"/>
      <c r="H163" s="181"/>
      <c r="I163" s="181"/>
      <c r="J163" s="112" t="s">
        <v>140</v>
      </c>
      <c r="K163" s="113">
        <v>80.3</v>
      </c>
      <c r="L163" s="182"/>
      <c r="M163" s="182"/>
      <c r="N163" s="182">
        <f>ROUND($L$163*$K$163,2)</f>
        <v>0</v>
      </c>
      <c r="O163" s="182"/>
      <c r="P163" s="182"/>
      <c r="Q163" s="182"/>
      <c r="R163" s="22"/>
      <c r="T163" s="114"/>
      <c r="U163" s="27" t="s">
        <v>38</v>
      </c>
      <c r="V163" s="115">
        <v>0.38</v>
      </c>
      <c r="W163" s="115">
        <f>$V$163*$K$163</f>
        <v>30.514</v>
      </c>
      <c r="X163" s="115">
        <v>0</v>
      </c>
      <c r="Y163" s="115">
        <f>$X$163*$K$163</f>
        <v>0</v>
      </c>
      <c r="Z163" s="115">
        <v>0</v>
      </c>
      <c r="AA163" s="116">
        <f>$Z$163*$K$163</f>
        <v>0</v>
      </c>
      <c r="AR163" s="9" t="s">
        <v>135</v>
      </c>
      <c r="AT163" s="9" t="s">
        <v>131</v>
      </c>
      <c r="AU163" s="9" t="s">
        <v>90</v>
      </c>
      <c r="AY163" s="9" t="s">
        <v>130</v>
      </c>
      <c r="BE163" s="91">
        <f>IF($U$163="základní",$N$163,0)</f>
        <v>0</v>
      </c>
      <c r="BF163" s="91">
        <f>IF($U$163="snížená",$N$163,0)</f>
        <v>0</v>
      </c>
      <c r="BG163" s="91">
        <f>IF($U$163="zákl. přenesená",$N$163,0)</f>
        <v>0</v>
      </c>
      <c r="BH163" s="91">
        <f>IF($U$163="sníž. přenesená",$N$163,0)</f>
        <v>0</v>
      </c>
      <c r="BI163" s="91">
        <f>IF($U$163="nulová",$N$163,0)</f>
        <v>0</v>
      </c>
      <c r="BJ163" s="9" t="s">
        <v>17</v>
      </c>
      <c r="BK163" s="91">
        <f>ROUND($L$163*$K$163,2)</f>
        <v>0</v>
      </c>
      <c r="BL163" s="9" t="s">
        <v>135</v>
      </c>
    </row>
    <row r="164" spans="2:51" s="9" customFormat="1" ht="15.75" customHeight="1">
      <c r="B164" s="117"/>
      <c r="E164" s="118"/>
      <c r="F164" s="183" t="s">
        <v>176</v>
      </c>
      <c r="G164" s="183"/>
      <c r="H164" s="183"/>
      <c r="I164" s="183"/>
      <c r="K164" s="119">
        <v>20.3</v>
      </c>
      <c r="R164" s="120"/>
      <c r="T164" s="121"/>
      <c r="AA164" s="122"/>
      <c r="AT164" s="118" t="s">
        <v>137</v>
      </c>
      <c r="AU164" s="118" t="s">
        <v>90</v>
      </c>
      <c r="AV164" s="118" t="s">
        <v>90</v>
      </c>
      <c r="AW164" s="118" t="s">
        <v>98</v>
      </c>
      <c r="AX164" s="118" t="s">
        <v>73</v>
      </c>
      <c r="AY164" s="118" t="s">
        <v>130</v>
      </c>
    </row>
    <row r="165" spans="2:51" s="9" customFormat="1" ht="15.75" customHeight="1">
      <c r="B165" s="117"/>
      <c r="E165" s="118"/>
      <c r="F165" s="183" t="s">
        <v>142</v>
      </c>
      <c r="G165" s="183"/>
      <c r="H165" s="183"/>
      <c r="I165" s="183"/>
      <c r="K165" s="119">
        <v>12.1</v>
      </c>
      <c r="R165" s="120"/>
      <c r="T165" s="121"/>
      <c r="AA165" s="122"/>
      <c r="AT165" s="118"/>
      <c r="AU165" s="118"/>
      <c r="AV165" s="118"/>
      <c r="AW165" s="118"/>
      <c r="AX165" s="118"/>
      <c r="AY165" s="118"/>
    </row>
    <row r="166" spans="2:51" s="9" customFormat="1" ht="15.75" customHeight="1">
      <c r="B166" s="117"/>
      <c r="E166" s="118"/>
      <c r="F166" s="183" t="s">
        <v>143</v>
      </c>
      <c r="G166" s="183"/>
      <c r="H166" s="183"/>
      <c r="I166" s="183"/>
      <c r="K166" s="119">
        <v>6.5</v>
      </c>
      <c r="R166" s="120"/>
      <c r="T166" s="121"/>
      <c r="AA166" s="122"/>
      <c r="AT166" s="118"/>
      <c r="AU166" s="118"/>
      <c r="AV166" s="118"/>
      <c r="AW166" s="118"/>
      <c r="AX166" s="118"/>
      <c r="AY166" s="118"/>
    </row>
    <row r="167" spans="2:51" s="9" customFormat="1" ht="15.75" customHeight="1">
      <c r="B167" s="117"/>
      <c r="E167" s="118"/>
      <c r="F167" s="183" t="s">
        <v>177</v>
      </c>
      <c r="G167" s="183"/>
      <c r="H167" s="183"/>
      <c r="I167" s="183"/>
      <c r="K167" s="119">
        <v>11.5</v>
      </c>
      <c r="R167" s="120"/>
      <c r="T167" s="121"/>
      <c r="AA167" s="122"/>
      <c r="AT167" s="118"/>
      <c r="AU167" s="118"/>
      <c r="AV167" s="118"/>
      <c r="AW167" s="118"/>
      <c r="AX167" s="118"/>
      <c r="AY167" s="118"/>
    </row>
    <row r="168" spans="2:51" s="9" customFormat="1" ht="15.75" customHeight="1">
      <c r="B168" s="117"/>
      <c r="E168" s="118"/>
      <c r="F168" s="183" t="s">
        <v>146</v>
      </c>
      <c r="G168" s="183"/>
      <c r="H168" s="183"/>
      <c r="I168" s="183"/>
      <c r="K168" s="119">
        <v>30.2</v>
      </c>
      <c r="R168" s="120"/>
      <c r="T168" s="121"/>
      <c r="AA168" s="122"/>
      <c r="AT168" s="118" t="s">
        <v>137</v>
      </c>
      <c r="AU168" s="118" t="s">
        <v>90</v>
      </c>
      <c r="AV168" s="118" t="s">
        <v>90</v>
      </c>
      <c r="AW168" s="118" t="s">
        <v>98</v>
      </c>
      <c r="AX168" s="118" t="s">
        <v>73</v>
      </c>
      <c r="AY168" s="118" t="s">
        <v>130</v>
      </c>
    </row>
    <row r="169" spans="2:64" s="9" customFormat="1" ht="27" customHeight="1">
      <c r="B169" s="21"/>
      <c r="C169" s="110" t="s">
        <v>180</v>
      </c>
      <c r="D169" s="110" t="s">
        <v>131</v>
      </c>
      <c r="E169" s="111" t="s">
        <v>181</v>
      </c>
      <c r="F169" s="181" t="s">
        <v>182</v>
      </c>
      <c r="G169" s="181"/>
      <c r="H169" s="181"/>
      <c r="I169" s="181"/>
      <c r="J169" s="112" t="s">
        <v>134</v>
      </c>
      <c r="K169" s="113">
        <v>237.5</v>
      </c>
      <c r="L169" s="182"/>
      <c r="M169" s="182"/>
      <c r="N169" s="182">
        <f>ROUND($L$169*$K$169,2)</f>
        <v>0</v>
      </c>
      <c r="O169" s="182"/>
      <c r="P169" s="182"/>
      <c r="Q169" s="182"/>
      <c r="R169" s="22"/>
      <c r="T169" s="114"/>
      <c r="U169" s="27" t="s">
        <v>38</v>
      </c>
      <c r="V169" s="115">
        <v>0.15</v>
      </c>
      <c r="W169" s="115">
        <f>$V$169*$K$169</f>
        <v>35.625</v>
      </c>
      <c r="X169" s="115">
        <v>0.02065</v>
      </c>
      <c r="Y169" s="115">
        <f>$X$169*$K$169</f>
        <v>4.904375000000001</v>
      </c>
      <c r="Z169" s="115">
        <v>0</v>
      </c>
      <c r="AA169" s="116">
        <f>$Z$169*$K$169</f>
        <v>0</v>
      </c>
      <c r="AR169" s="9" t="s">
        <v>135</v>
      </c>
      <c r="AT169" s="9" t="s">
        <v>131</v>
      </c>
      <c r="AU169" s="9" t="s">
        <v>90</v>
      </c>
      <c r="AY169" s="9" t="s">
        <v>130</v>
      </c>
      <c r="BE169" s="91">
        <f>IF($U$169="základní",$N$169,0)</f>
        <v>0</v>
      </c>
      <c r="BF169" s="91">
        <f>IF($U$169="snížená",$N$169,0)</f>
        <v>0</v>
      </c>
      <c r="BG169" s="91">
        <f>IF($U$169="zákl. přenesená",$N$169,0)</f>
        <v>0</v>
      </c>
      <c r="BH169" s="91">
        <f>IF($U$169="sníž. přenesená",$N$169,0)</f>
        <v>0</v>
      </c>
      <c r="BI169" s="91">
        <f>IF($U$169="nulová",$N$169,0)</f>
        <v>0</v>
      </c>
      <c r="BJ169" s="9" t="s">
        <v>17</v>
      </c>
      <c r="BK169" s="91">
        <f>ROUND($L$169*$K$169,2)</f>
        <v>0</v>
      </c>
      <c r="BL169" s="9" t="s">
        <v>135</v>
      </c>
    </row>
    <row r="170" spans="2:51" s="9" customFormat="1" ht="25.5" customHeight="1">
      <c r="B170" s="117"/>
      <c r="E170" s="118"/>
      <c r="F170" s="183" t="s">
        <v>183</v>
      </c>
      <c r="G170" s="183"/>
      <c r="H170" s="183"/>
      <c r="I170" s="183"/>
      <c r="K170" s="119">
        <f>52.8+26.5+23.5+26.3+23.5+25.6+21+12.85+12.85+12.15</f>
        <v>237.04999999999998</v>
      </c>
      <c r="R170" s="120"/>
      <c r="T170" s="121"/>
      <c r="AA170" s="122"/>
      <c r="AT170" s="118" t="s">
        <v>137</v>
      </c>
      <c r="AU170" s="118" t="s">
        <v>90</v>
      </c>
      <c r="AV170" s="118" t="s">
        <v>90</v>
      </c>
      <c r="AW170" s="118" t="s">
        <v>98</v>
      </c>
      <c r="AX170" s="118" t="s">
        <v>73</v>
      </c>
      <c r="AY170" s="118" t="s">
        <v>130</v>
      </c>
    </row>
    <row r="171" spans="2:64" s="9" customFormat="1" ht="27" customHeight="1">
      <c r="B171" s="21"/>
      <c r="C171" s="110" t="s">
        <v>184</v>
      </c>
      <c r="D171" s="110" t="s">
        <v>131</v>
      </c>
      <c r="E171" s="111" t="s">
        <v>185</v>
      </c>
      <c r="F171" s="181" t="s">
        <v>186</v>
      </c>
      <c r="G171" s="181"/>
      <c r="H171" s="181"/>
      <c r="I171" s="181"/>
      <c r="J171" s="112" t="s">
        <v>140</v>
      </c>
      <c r="K171" s="113">
        <v>76.4</v>
      </c>
      <c r="L171" s="182"/>
      <c r="M171" s="182"/>
      <c r="N171" s="182">
        <f>ROUND($L$171*$K$171,2)</f>
        <v>0</v>
      </c>
      <c r="O171" s="182"/>
      <c r="P171" s="182"/>
      <c r="Q171" s="182"/>
      <c r="R171" s="22"/>
      <c r="T171" s="114"/>
      <c r="U171" s="27" t="s">
        <v>38</v>
      </c>
      <c r="V171" s="115">
        <v>0.02</v>
      </c>
      <c r="W171" s="115">
        <f>$V$171*$K$171</f>
        <v>1.5280000000000002</v>
      </c>
      <c r="X171" s="115">
        <v>0.00012</v>
      </c>
      <c r="Y171" s="115">
        <f>$X$171*$K$171</f>
        <v>0.009168</v>
      </c>
      <c r="Z171" s="115">
        <v>0</v>
      </c>
      <c r="AA171" s="116">
        <f>$Z$171*$K$171</f>
        <v>0</v>
      </c>
      <c r="AR171" s="9" t="s">
        <v>135</v>
      </c>
      <c r="AT171" s="9" t="s">
        <v>131</v>
      </c>
      <c r="AU171" s="9" t="s">
        <v>90</v>
      </c>
      <c r="AY171" s="9" t="s">
        <v>130</v>
      </c>
      <c r="BE171" s="91">
        <f>IF($U$171="základní",$N$171,0)</f>
        <v>0</v>
      </c>
      <c r="BF171" s="91">
        <f>IF($U$171="snížená",$N$171,0)</f>
        <v>0</v>
      </c>
      <c r="BG171" s="91">
        <f>IF($U$171="zákl. přenesená",$N$171,0)</f>
        <v>0</v>
      </c>
      <c r="BH171" s="91">
        <f>IF($U$171="sníž. přenesená",$N$171,0)</f>
        <v>0</v>
      </c>
      <c r="BI171" s="91">
        <f>IF($U$171="nulová",$N$171,0)</f>
        <v>0</v>
      </c>
      <c r="BJ171" s="9" t="s">
        <v>17</v>
      </c>
      <c r="BK171" s="91">
        <f>ROUND($L$171*$K$171,2)</f>
        <v>0</v>
      </c>
      <c r="BL171" s="9" t="s">
        <v>135</v>
      </c>
    </row>
    <row r="172" spans="2:51" s="9" customFormat="1" ht="15.75" customHeight="1">
      <c r="B172" s="117"/>
      <c r="E172" s="118"/>
      <c r="F172" s="183" t="s">
        <v>187</v>
      </c>
      <c r="G172" s="183"/>
      <c r="H172" s="183"/>
      <c r="I172" s="183"/>
      <c r="K172" s="119">
        <v>76.4</v>
      </c>
      <c r="R172" s="120"/>
      <c r="T172" s="121"/>
      <c r="AA172" s="122"/>
      <c r="AT172" s="118" t="s">
        <v>137</v>
      </c>
      <c r="AU172" s="118" t="s">
        <v>90</v>
      </c>
      <c r="AV172" s="118" t="s">
        <v>90</v>
      </c>
      <c r="AW172" s="118" t="s">
        <v>98</v>
      </c>
      <c r="AX172" s="118" t="s">
        <v>73</v>
      </c>
      <c r="AY172" s="118" t="s">
        <v>130</v>
      </c>
    </row>
    <row r="173" spans="2:64" s="9" customFormat="1" ht="27" customHeight="1">
      <c r="B173" s="21"/>
      <c r="C173" s="110" t="s">
        <v>188</v>
      </c>
      <c r="D173" s="110" t="s">
        <v>131</v>
      </c>
      <c r="E173" s="111" t="s">
        <v>189</v>
      </c>
      <c r="F173" s="181" t="s">
        <v>190</v>
      </c>
      <c r="G173" s="181"/>
      <c r="H173" s="181"/>
      <c r="I173" s="181"/>
      <c r="J173" s="112" t="s">
        <v>140</v>
      </c>
      <c r="K173" s="113">
        <v>103.5</v>
      </c>
      <c r="L173" s="182"/>
      <c r="M173" s="182"/>
      <c r="N173" s="182">
        <f>ROUND($L$173*$K$173,2)</f>
        <v>0</v>
      </c>
      <c r="O173" s="182"/>
      <c r="P173" s="182"/>
      <c r="Q173" s="182"/>
      <c r="R173" s="22"/>
      <c r="T173" s="114"/>
      <c r="U173" s="27" t="s">
        <v>38</v>
      </c>
      <c r="V173" s="115">
        <v>0.06</v>
      </c>
      <c r="W173" s="115">
        <f>$V$173*$K$173</f>
        <v>6.21</v>
      </c>
      <c r="X173" s="115">
        <v>0.00012</v>
      </c>
      <c r="Y173" s="115">
        <f>$X$173*$K$173</f>
        <v>0.01242</v>
      </c>
      <c r="Z173" s="115">
        <v>0</v>
      </c>
      <c r="AA173" s="116">
        <f>$Z$173*$K$173</f>
        <v>0</v>
      </c>
      <c r="AR173" s="9" t="s">
        <v>135</v>
      </c>
      <c r="AT173" s="9" t="s">
        <v>131</v>
      </c>
      <c r="AU173" s="9" t="s">
        <v>90</v>
      </c>
      <c r="AY173" s="9" t="s">
        <v>130</v>
      </c>
      <c r="BE173" s="91">
        <f>IF($U$173="základní",$N$173,0)</f>
        <v>0</v>
      </c>
      <c r="BF173" s="91">
        <f>IF($U$173="snížená",$N$173,0)</f>
        <v>0</v>
      </c>
      <c r="BG173" s="91">
        <f>IF($U$173="zákl. přenesená",$N$173,0)</f>
        <v>0</v>
      </c>
      <c r="BH173" s="91">
        <f>IF($U$173="sníž. přenesená",$N$173,0)</f>
        <v>0</v>
      </c>
      <c r="BI173" s="91">
        <f>IF($U$173="nulová",$N$173,0)</f>
        <v>0</v>
      </c>
      <c r="BJ173" s="9" t="s">
        <v>17</v>
      </c>
      <c r="BK173" s="91">
        <f>ROUND($L$173*$K$173,2)</f>
        <v>0</v>
      </c>
      <c r="BL173" s="9" t="s">
        <v>135</v>
      </c>
    </row>
    <row r="174" spans="2:51" s="9" customFormat="1" ht="15.75" customHeight="1">
      <c r="B174" s="117"/>
      <c r="E174" s="118"/>
      <c r="F174" s="183" t="s">
        <v>191</v>
      </c>
      <c r="G174" s="183"/>
      <c r="H174" s="183"/>
      <c r="I174" s="183"/>
      <c r="K174" s="119">
        <v>23.2</v>
      </c>
      <c r="R174" s="120"/>
      <c r="T174" s="121"/>
      <c r="AA174" s="122"/>
      <c r="AT174" s="118" t="s">
        <v>137</v>
      </c>
      <c r="AU174" s="118" t="s">
        <v>90</v>
      </c>
      <c r="AV174" s="118" t="s">
        <v>90</v>
      </c>
      <c r="AW174" s="118" t="s">
        <v>98</v>
      </c>
      <c r="AX174" s="118" t="s">
        <v>73</v>
      </c>
      <c r="AY174" s="118" t="s">
        <v>130</v>
      </c>
    </row>
    <row r="175" spans="2:51" s="9" customFormat="1" ht="15.75" customHeight="1">
      <c r="B175" s="117"/>
      <c r="E175" s="118"/>
      <c r="F175" s="183" t="s">
        <v>192</v>
      </c>
      <c r="G175" s="183"/>
      <c r="H175" s="183"/>
      <c r="I175" s="183"/>
      <c r="K175" s="119">
        <v>80.3</v>
      </c>
      <c r="R175" s="120"/>
      <c r="T175" s="121"/>
      <c r="AA175" s="122"/>
      <c r="AT175" s="118"/>
      <c r="AU175" s="118"/>
      <c r="AV175" s="118"/>
      <c r="AW175" s="118"/>
      <c r="AX175" s="118"/>
      <c r="AY175" s="118"/>
    </row>
    <row r="176" spans="2:51" s="9" customFormat="1" ht="15.75" customHeight="1">
      <c r="B176" s="129"/>
      <c r="E176" s="130"/>
      <c r="F176" s="187" t="s">
        <v>147</v>
      </c>
      <c r="G176" s="187"/>
      <c r="H176" s="187"/>
      <c r="I176" s="187"/>
      <c r="K176" s="132">
        <v>103.5</v>
      </c>
      <c r="R176" s="133"/>
      <c r="T176" s="134"/>
      <c r="AA176" s="135"/>
      <c r="AT176" s="130" t="s">
        <v>137</v>
      </c>
      <c r="AU176" s="130" t="s">
        <v>90</v>
      </c>
      <c r="AV176" s="130" t="s">
        <v>135</v>
      </c>
      <c r="AW176" s="130" t="s">
        <v>98</v>
      </c>
      <c r="AX176" s="130" t="s">
        <v>17</v>
      </c>
      <c r="AY176" s="130" t="s">
        <v>130</v>
      </c>
    </row>
    <row r="177" spans="2:64" s="9" customFormat="1" ht="27" customHeight="1">
      <c r="B177" s="21"/>
      <c r="C177" s="110" t="s">
        <v>193</v>
      </c>
      <c r="D177" s="110" t="s">
        <v>131</v>
      </c>
      <c r="E177" s="111" t="s">
        <v>194</v>
      </c>
      <c r="F177" s="181" t="s">
        <v>195</v>
      </c>
      <c r="G177" s="181"/>
      <c r="H177" s="181"/>
      <c r="I177" s="181"/>
      <c r="J177" s="112" t="s">
        <v>140</v>
      </c>
      <c r="K177" s="113">
        <v>1183.2</v>
      </c>
      <c r="L177" s="182"/>
      <c r="M177" s="182"/>
      <c r="N177" s="182">
        <f>ROUND($L$177*$K$177,2)</f>
        <v>0</v>
      </c>
      <c r="O177" s="182"/>
      <c r="P177" s="182"/>
      <c r="Q177" s="182"/>
      <c r="R177" s="22"/>
      <c r="T177" s="114"/>
      <c r="U177" s="27" t="s">
        <v>38</v>
      </c>
      <c r="V177" s="115">
        <v>0.14</v>
      </c>
      <c r="W177" s="115">
        <f>$V$177*$K$177</f>
        <v>165.64800000000002</v>
      </c>
      <c r="X177" s="115">
        <v>0</v>
      </c>
      <c r="Y177" s="115">
        <f>$X$177*$K$177</f>
        <v>0</v>
      </c>
      <c r="Z177" s="115">
        <v>0</v>
      </c>
      <c r="AA177" s="116">
        <f>$Z$177*$K$177</f>
        <v>0</v>
      </c>
      <c r="AR177" s="9" t="s">
        <v>135</v>
      </c>
      <c r="AT177" s="9" t="s">
        <v>131</v>
      </c>
      <c r="AU177" s="9" t="s">
        <v>90</v>
      </c>
      <c r="AY177" s="9" t="s">
        <v>130</v>
      </c>
      <c r="BE177" s="91">
        <f>IF($U$177="základní",$N$177,0)</f>
        <v>0</v>
      </c>
      <c r="BF177" s="91">
        <f>IF($U$177="snížená",$N$177,0)</f>
        <v>0</v>
      </c>
      <c r="BG177" s="91">
        <f>IF($U$177="zákl. přenesená",$N$177,0)</f>
        <v>0</v>
      </c>
      <c r="BH177" s="91">
        <f>IF($U$177="sníž. přenesená",$N$177,0)</f>
        <v>0</v>
      </c>
      <c r="BI177" s="91">
        <f>IF($U$177="nulová",$N$177,0)</f>
        <v>0</v>
      </c>
      <c r="BJ177" s="9" t="s">
        <v>17</v>
      </c>
      <c r="BK177" s="91">
        <f>ROUND($L$177*$K$177,2)</f>
        <v>0</v>
      </c>
      <c r="BL177" s="9" t="s">
        <v>135</v>
      </c>
    </row>
    <row r="178" spans="2:51" s="9" customFormat="1" ht="15.75" customHeight="1">
      <c r="B178" s="117"/>
      <c r="E178" s="118"/>
      <c r="F178" s="183" t="s">
        <v>157</v>
      </c>
      <c r="G178" s="183"/>
      <c r="H178" s="183"/>
      <c r="I178" s="183"/>
      <c r="K178" s="119">
        <v>229.8</v>
      </c>
      <c r="R178" s="120"/>
      <c r="T178" s="121"/>
      <c r="AA178" s="122"/>
      <c r="AT178" s="118" t="s">
        <v>137</v>
      </c>
      <c r="AU178" s="118" t="s">
        <v>90</v>
      </c>
      <c r="AV178" s="118" t="s">
        <v>90</v>
      </c>
      <c r="AW178" s="118" t="s">
        <v>98</v>
      </c>
      <c r="AX178" s="118" t="s">
        <v>73</v>
      </c>
      <c r="AY178" s="118" t="s">
        <v>130</v>
      </c>
    </row>
    <row r="179" spans="2:51" s="9" customFormat="1" ht="15.75" customHeight="1">
      <c r="B179" s="117"/>
      <c r="E179" s="118"/>
      <c r="F179" s="183" t="s">
        <v>196</v>
      </c>
      <c r="G179" s="183"/>
      <c r="H179" s="183"/>
      <c r="I179" s="183"/>
      <c r="K179" s="119">
        <v>203.1</v>
      </c>
      <c r="R179" s="120"/>
      <c r="T179" s="121"/>
      <c r="AA179" s="122"/>
      <c r="AT179" s="118"/>
      <c r="AU179" s="118"/>
      <c r="AV179" s="118"/>
      <c r="AW179" s="118"/>
      <c r="AX179" s="118"/>
      <c r="AY179" s="118"/>
    </row>
    <row r="180" spans="2:51" s="9" customFormat="1" ht="15.75" customHeight="1">
      <c r="B180" s="117"/>
      <c r="E180" s="118"/>
      <c r="F180" s="183" t="s">
        <v>159</v>
      </c>
      <c r="G180" s="183"/>
      <c r="H180" s="183"/>
      <c r="I180" s="183"/>
      <c r="K180" s="119">
        <v>97.6</v>
      </c>
      <c r="R180" s="120"/>
      <c r="T180" s="121"/>
      <c r="AA180" s="122"/>
      <c r="AT180" s="118"/>
      <c r="AU180" s="118"/>
      <c r="AV180" s="118"/>
      <c r="AW180" s="118"/>
      <c r="AX180" s="118"/>
      <c r="AY180" s="118"/>
    </row>
    <row r="181" spans="2:51" s="9" customFormat="1" ht="15.75" customHeight="1">
      <c r="B181" s="117"/>
      <c r="E181" s="118"/>
      <c r="F181" s="183" t="s">
        <v>160</v>
      </c>
      <c r="G181" s="183"/>
      <c r="H181" s="183"/>
      <c r="I181" s="183"/>
      <c r="K181" s="119">
        <v>182.1</v>
      </c>
      <c r="R181" s="120"/>
      <c r="T181" s="121"/>
      <c r="AA181" s="122"/>
      <c r="AT181" s="118"/>
      <c r="AU181" s="118"/>
      <c r="AV181" s="118"/>
      <c r="AW181" s="118"/>
      <c r="AX181" s="118"/>
      <c r="AY181" s="118"/>
    </row>
    <row r="182" spans="2:51" s="9" customFormat="1" ht="15.75" customHeight="1">
      <c r="B182" s="117"/>
      <c r="E182" s="118"/>
      <c r="F182" s="183" t="s">
        <v>197</v>
      </c>
      <c r="G182" s="183"/>
      <c r="H182" s="183"/>
      <c r="I182" s="183"/>
      <c r="K182" s="119">
        <v>470.6</v>
      </c>
      <c r="R182" s="120"/>
      <c r="T182" s="121"/>
      <c r="AA182" s="122"/>
      <c r="AT182" s="118" t="s">
        <v>137</v>
      </c>
      <c r="AU182" s="118" t="s">
        <v>90</v>
      </c>
      <c r="AV182" s="118" t="s">
        <v>90</v>
      </c>
      <c r="AW182" s="118" t="s">
        <v>98</v>
      </c>
      <c r="AX182" s="118" t="s">
        <v>73</v>
      </c>
      <c r="AY182" s="118" t="s">
        <v>130</v>
      </c>
    </row>
    <row r="183" spans="2:51" s="9" customFormat="1" ht="15.75" customHeight="1">
      <c r="B183" s="129"/>
      <c r="E183" s="130"/>
      <c r="F183" s="187" t="s">
        <v>198</v>
      </c>
      <c r="G183" s="187"/>
      <c r="H183" s="187"/>
      <c r="I183" s="187"/>
      <c r="K183" s="132">
        <f>K178+K179+K180+K181+K182</f>
        <v>1183.2</v>
      </c>
      <c r="R183" s="133"/>
      <c r="T183" s="134"/>
      <c r="AA183" s="135"/>
      <c r="AT183" s="130" t="s">
        <v>137</v>
      </c>
      <c r="AU183" s="130" t="s">
        <v>90</v>
      </c>
      <c r="AV183" s="130" t="s">
        <v>135</v>
      </c>
      <c r="AW183" s="130" t="s">
        <v>98</v>
      </c>
      <c r="AX183" s="130" t="s">
        <v>17</v>
      </c>
      <c r="AY183" s="130" t="s">
        <v>130</v>
      </c>
    </row>
    <row r="184" spans="2:64" s="9" customFormat="1" ht="27" customHeight="1">
      <c r="B184" s="21"/>
      <c r="C184" s="110" t="s">
        <v>10</v>
      </c>
      <c r="D184" s="110" t="s">
        <v>131</v>
      </c>
      <c r="E184" s="111" t="s">
        <v>199</v>
      </c>
      <c r="F184" s="181" t="s">
        <v>200</v>
      </c>
      <c r="G184" s="181"/>
      <c r="H184" s="181"/>
      <c r="I184" s="181"/>
      <c r="J184" s="112" t="s">
        <v>140</v>
      </c>
      <c r="K184" s="113">
        <v>1071.2</v>
      </c>
      <c r="L184" s="182"/>
      <c r="M184" s="182"/>
      <c r="N184" s="182">
        <f>ROUND($L$184*$K$184,2)</f>
        <v>0</v>
      </c>
      <c r="O184" s="182"/>
      <c r="P184" s="182"/>
      <c r="Q184" s="182"/>
      <c r="R184" s="22"/>
      <c r="T184" s="114"/>
      <c r="U184" s="27" t="s">
        <v>38</v>
      </c>
      <c r="V184" s="115">
        <v>0.25</v>
      </c>
      <c r="W184" s="115">
        <f>$V$184*$K$184</f>
        <v>267.8</v>
      </c>
      <c r="X184" s="115">
        <v>0</v>
      </c>
      <c r="Y184" s="115">
        <f>$X$184*$K$184</f>
        <v>0</v>
      </c>
      <c r="Z184" s="115">
        <v>0</v>
      </c>
      <c r="AA184" s="116">
        <f>$Z$184*$K$184</f>
        <v>0</v>
      </c>
      <c r="AR184" s="9" t="s">
        <v>135</v>
      </c>
      <c r="AT184" s="9" t="s">
        <v>131</v>
      </c>
      <c r="AU184" s="9" t="s">
        <v>90</v>
      </c>
      <c r="AY184" s="9" t="s">
        <v>130</v>
      </c>
      <c r="BE184" s="91">
        <f>IF($U$184="základní",$N$184,0)</f>
        <v>0</v>
      </c>
      <c r="BF184" s="91">
        <f>IF($U$184="snížená",$N$184,0)</f>
        <v>0</v>
      </c>
      <c r="BG184" s="91">
        <f>IF($U$184="zákl. přenesená",$N$184,0)</f>
        <v>0</v>
      </c>
      <c r="BH184" s="91">
        <f>IF($U$184="sníž. přenesená",$N$184,0)</f>
        <v>0</v>
      </c>
      <c r="BI184" s="91">
        <f>IF($U$184="nulová",$N$184,0)</f>
        <v>0</v>
      </c>
      <c r="BJ184" s="9" t="s">
        <v>17</v>
      </c>
      <c r="BK184" s="91">
        <f>ROUND($L$184*$K$184,2)</f>
        <v>0</v>
      </c>
      <c r="BL184" s="9" t="s">
        <v>135</v>
      </c>
    </row>
    <row r="185" spans="2:51" s="9" customFormat="1" ht="15.75" customHeight="1">
      <c r="B185" s="117"/>
      <c r="E185" s="118"/>
      <c r="F185" s="183" t="s">
        <v>164</v>
      </c>
      <c r="G185" s="183"/>
      <c r="H185" s="183"/>
      <c r="I185" s="183"/>
      <c r="K185" s="119">
        <v>209.5</v>
      </c>
      <c r="R185" s="120"/>
      <c r="T185" s="121"/>
      <c r="AA185" s="122"/>
      <c r="AT185" s="118" t="s">
        <v>137</v>
      </c>
      <c r="AU185" s="118" t="s">
        <v>90</v>
      </c>
      <c r="AV185" s="118" t="s">
        <v>90</v>
      </c>
      <c r="AW185" s="118" t="s">
        <v>98</v>
      </c>
      <c r="AX185" s="118" t="s">
        <v>73</v>
      </c>
      <c r="AY185" s="118" t="s">
        <v>130</v>
      </c>
    </row>
    <row r="186" spans="2:51" s="9" customFormat="1" ht="15.75" customHeight="1">
      <c r="B186" s="117"/>
      <c r="E186" s="118"/>
      <c r="F186" s="183" t="s">
        <v>165</v>
      </c>
      <c r="G186" s="183"/>
      <c r="H186" s="183"/>
      <c r="I186" s="183"/>
      <c r="K186" s="119">
        <v>175</v>
      </c>
      <c r="R186" s="120"/>
      <c r="T186" s="121"/>
      <c r="AA186" s="122"/>
      <c r="AT186" s="118"/>
      <c r="AU186" s="118"/>
      <c r="AV186" s="118"/>
      <c r="AW186" s="118"/>
      <c r="AX186" s="118"/>
      <c r="AY186" s="118"/>
    </row>
    <row r="187" spans="2:51" s="9" customFormat="1" ht="15.75" customHeight="1">
      <c r="B187" s="117"/>
      <c r="E187" s="118"/>
      <c r="F187" s="183" t="s">
        <v>166</v>
      </c>
      <c r="G187" s="183"/>
      <c r="H187" s="183"/>
      <c r="I187" s="183"/>
      <c r="K187" s="119">
        <v>91.1</v>
      </c>
      <c r="R187" s="120"/>
      <c r="T187" s="121"/>
      <c r="AA187" s="122"/>
      <c r="AT187" s="118"/>
      <c r="AU187" s="118"/>
      <c r="AV187" s="118"/>
      <c r="AW187" s="118"/>
      <c r="AX187" s="118"/>
      <c r="AY187" s="118"/>
    </row>
    <row r="188" spans="2:51" s="9" customFormat="1" ht="15.75" customHeight="1">
      <c r="B188" s="117"/>
      <c r="E188" s="118"/>
      <c r="F188" s="183" t="s">
        <v>167</v>
      </c>
      <c r="G188" s="183"/>
      <c r="H188" s="183"/>
      <c r="I188" s="183"/>
      <c r="K188" s="119">
        <v>170.6</v>
      </c>
      <c r="R188" s="120"/>
      <c r="T188" s="121"/>
      <c r="AA188" s="122"/>
      <c r="AT188" s="118"/>
      <c r="AU188" s="118"/>
      <c r="AV188" s="118"/>
      <c r="AW188" s="118"/>
      <c r="AX188" s="118"/>
      <c r="AY188" s="118"/>
    </row>
    <row r="189" spans="2:51" s="9" customFormat="1" ht="15.75" customHeight="1">
      <c r="B189" s="117"/>
      <c r="E189" s="118"/>
      <c r="F189" s="183" t="s">
        <v>168</v>
      </c>
      <c r="G189" s="183"/>
      <c r="H189" s="183"/>
      <c r="I189" s="183"/>
      <c r="K189" s="119">
        <v>425</v>
      </c>
      <c r="R189" s="120"/>
      <c r="T189" s="121"/>
      <c r="AA189" s="122"/>
      <c r="AT189" s="118" t="s">
        <v>137</v>
      </c>
      <c r="AU189" s="118" t="s">
        <v>90</v>
      </c>
      <c r="AV189" s="118" t="s">
        <v>90</v>
      </c>
      <c r="AW189" s="118" t="s">
        <v>98</v>
      </c>
      <c r="AX189" s="118" t="s">
        <v>73</v>
      </c>
      <c r="AY189" s="118" t="s">
        <v>130</v>
      </c>
    </row>
    <row r="190" spans="2:51" s="9" customFormat="1" ht="15.75" customHeight="1">
      <c r="B190" s="129"/>
      <c r="E190" s="130"/>
      <c r="F190" s="187" t="s">
        <v>147</v>
      </c>
      <c r="G190" s="187"/>
      <c r="H190" s="187"/>
      <c r="I190" s="187"/>
      <c r="K190" s="132">
        <f>K185+K186+K187+K188+K189</f>
        <v>1071.2</v>
      </c>
      <c r="R190" s="133"/>
      <c r="T190" s="134"/>
      <c r="AA190" s="135"/>
      <c r="AT190" s="130" t="s">
        <v>137</v>
      </c>
      <c r="AU190" s="130" t="s">
        <v>90</v>
      </c>
      <c r="AV190" s="130" t="s">
        <v>135</v>
      </c>
      <c r="AW190" s="130" t="s">
        <v>98</v>
      </c>
      <c r="AX190" s="130" t="s">
        <v>17</v>
      </c>
      <c r="AY190" s="130" t="s">
        <v>130</v>
      </c>
    </row>
    <row r="191" spans="2:63" s="100" customFormat="1" ht="30.75" customHeight="1">
      <c r="B191" s="101"/>
      <c r="D191" s="109" t="s">
        <v>103</v>
      </c>
      <c r="N191" s="180">
        <f>SUM(N192:N225)</f>
        <v>0</v>
      </c>
      <c r="O191" s="180"/>
      <c r="P191" s="180"/>
      <c r="Q191" s="180"/>
      <c r="R191" s="103"/>
      <c r="T191" s="104"/>
      <c r="W191" s="105">
        <f>SUM($W$192:$W$227)</f>
        <v>504.232196</v>
      </c>
      <c r="Y191" s="105">
        <f>SUM($Y$192:$Y$227)</f>
        <v>5.021624</v>
      </c>
      <c r="AA191" s="106">
        <f>SUM($AA$192:$AA$227)</f>
        <v>33.5662</v>
      </c>
      <c r="AR191" s="107" t="s">
        <v>17</v>
      </c>
      <c r="AT191" s="107" t="s">
        <v>72</v>
      </c>
      <c r="AU191" s="107" t="s">
        <v>17</v>
      </c>
      <c r="AY191" s="107" t="s">
        <v>130</v>
      </c>
      <c r="BK191" s="108">
        <f>SUM($BK$192:$BK$227)</f>
        <v>0</v>
      </c>
    </row>
    <row r="192" spans="2:64" s="9" customFormat="1" ht="27" customHeight="1">
      <c r="B192" s="21"/>
      <c r="C192" s="110" t="s">
        <v>201</v>
      </c>
      <c r="D192" s="110" t="s">
        <v>131</v>
      </c>
      <c r="E192" s="111" t="s">
        <v>202</v>
      </c>
      <c r="F192" s="181" t="s">
        <v>203</v>
      </c>
      <c r="G192" s="181"/>
      <c r="H192" s="181"/>
      <c r="I192" s="181"/>
      <c r="J192" s="112" t="s">
        <v>151</v>
      </c>
      <c r="K192" s="113">
        <v>2</v>
      </c>
      <c r="L192" s="182"/>
      <c r="M192" s="182"/>
      <c r="N192" s="182">
        <f>ROUND($L$192*$K$192,2)</f>
        <v>0</v>
      </c>
      <c r="O192" s="182"/>
      <c r="P192" s="182"/>
      <c r="Q192" s="182"/>
      <c r="R192" s="22"/>
      <c r="T192" s="114"/>
      <c r="U192" s="27" t="s">
        <v>38</v>
      </c>
      <c r="V192" s="115">
        <v>0.557</v>
      </c>
      <c r="W192" s="115">
        <f>$V$192*$K$192</f>
        <v>1.114</v>
      </c>
      <c r="X192" s="115">
        <v>0</v>
      </c>
      <c r="Y192" s="115">
        <f>$X$192*$K$192</f>
        <v>0</v>
      </c>
      <c r="Z192" s="115">
        <v>0.082</v>
      </c>
      <c r="AA192" s="116">
        <f>$Z$192*$K$192</f>
        <v>0.164</v>
      </c>
      <c r="AR192" s="9" t="s">
        <v>135</v>
      </c>
      <c r="AT192" s="9" t="s">
        <v>131</v>
      </c>
      <c r="AU192" s="9" t="s">
        <v>90</v>
      </c>
      <c r="AY192" s="9" t="s">
        <v>130</v>
      </c>
      <c r="BE192" s="91">
        <f>IF($U$192="základní",$N$192,0)</f>
        <v>0</v>
      </c>
      <c r="BF192" s="91">
        <f>IF($U$192="snížená",$N$192,0)</f>
        <v>0</v>
      </c>
      <c r="BG192" s="91">
        <f>IF($U$192="zákl. přenesená",$N$192,0)</f>
        <v>0</v>
      </c>
      <c r="BH192" s="91">
        <f>IF($U$192="sníž. přenesená",$N$192,0)</f>
        <v>0</v>
      </c>
      <c r="BI192" s="91">
        <f>IF($U$192="nulová",$N$192,0)</f>
        <v>0</v>
      </c>
      <c r="BJ192" s="9" t="s">
        <v>17</v>
      </c>
      <c r="BK192" s="91">
        <f>ROUND($L$192*$K$192,2)</f>
        <v>0</v>
      </c>
      <c r="BL192" s="9" t="s">
        <v>135</v>
      </c>
    </row>
    <row r="193" spans="2:64" s="9" customFormat="1" ht="27" customHeight="1">
      <c r="B193" s="21"/>
      <c r="C193" s="110" t="s">
        <v>204</v>
      </c>
      <c r="D193" s="110" t="s">
        <v>131</v>
      </c>
      <c r="E193" s="111" t="s">
        <v>205</v>
      </c>
      <c r="F193" s="181" t="s">
        <v>206</v>
      </c>
      <c r="G193" s="181"/>
      <c r="H193" s="181"/>
      <c r="I193" s="181"/>
      <c r="J193" s="112" t="s">
        <v>151</v>
      </c>
      <c r="K193" s="113">
        <v>2</v>
      </c>
      <c r="L193" s="182"/>
      <c r="M193" s="182"/>
      <c r="N193" s="182">
        <f>ROUND($L$193*$K$193,2)</f>
        <v>0</v>
      </c>
      <c r="O193" s="182"/>
      <c r="P193" s="182"/>
      <c r="Q193" s="182"/>
      <c r="R193" s="22"/>
      <c r="T193" s="114"/>
      <c r="U193" s="27" t="s">
        <v>38</v>
      </c>
      <c r="V193" s="115">
        <v>3.143</v>
      </c>
      <c r="W193" s="115">
        <f>$V$193*$K$193</f>
        <v>6.286</v>
      </c>
      <c r="X193" s="115">
        <v>2.50188</v>
      </c>
      <c r="Y193" s="115">
        <f>$X$193*$K$193</f>
        <v>5.00376</v>
      </c>
      <c r="Z193" s="115">
        <v>0</v>
      </c>
      <c r="AA193" s="116">
        <f>$Z$193*$K$193</f>
        <v>0</v>
      </c>
      <c r="AR193" s="9" t="s">
        <v>135</v>
      </c>
      <c r="AT193" s="9" t="s">
        <v>131</v>
      </c>
      <c r="AU193" s="9" t="s">
        <v>90</v>
      </c>
      <c r="AY193" s="9" t="s">
        <v>130</v>
      </c>
      <c r="BE193" s="91">
        <f>IF($U$193="základní",$N$193,0)</f>
        <v>0</v>
      </c>
      <c r="BF193" s="91">
        <f>IF($U$193="snížená",$N$193,0)</f>
        <v>0</v>
      </c>
      <c r="BG193" s="91">
        <f>IF($U$193="zákl. přenesená",$N$193,0)</f>
        <v>0</v>
      </c>
      <c r="BH193" s="91">
        <f>IF($U$193="sníž. přenesená",$N$193,0)</f>
        <v>0</v>
      </c>
      <c r="BI193" s="91">
        <f>IF($U$193="nulová",$N$193,0)</f>
        <v>0</v>
      </c>
      <c r="BJ193" s="9" t="s">
        <v>17</v>
      </c>
      <c r="BK193" s="91">
        <f>ROUND($L$193*$K$193,2)</f>
        <v>0</v>
      </c>
      <c r="BL193" s="9" t="s">
        <v>135</v>
      </c>
    </row>
    <row r="194" spans="2:64" s="9" customFormat="1" ht="39" customHeight="1">
      <c r="B194" s="21"/>
      <c r="C194" s="110" t="s">
        <v>207</v>
      </c>
      <c r="D194" s="110" t="s">
        <v>131</v>
      </c>
      <c r="E194" s="111" t="s">
        <v>208</v>
      </c>
      <c r="F194" s="181" t="s">
        <v>209</v>
      </c>
      <c r="G194" s="181"/>
      <c r="H194" s="181"/>
      <c r="I194" s="181"/>
      <c r="J194" s="112" t="s">
        <v>140</v>
      </c>
      <c r="K194" s="113">
        <v>1054.274</v>
      </c>
      <c r="L194" s="182"/>
      <c r="M194" s="182"/>
      <c r="N194" s="182">
        <f>ROUND($L$194*$K$194,2)</f>
        <v>0</v>
      </c>
      <c r="O194" s="182"/>
      <c r="P194" s="182"/>
      <c r="Q194" s="182"/>
      <c r="R194" s="22"/>
      <c r="T194" s="114"/>
      <c r="U194" s="27" t="s">
        <v>38</v>
      </c>
      <c r="V194" s="115">
        <v>0.16</v>
      </c>
      <c r="W194" s="115">
        <f>$V$194*$K$194</f>
        <v>168.68383999999998</v>
      </c>
      <c r="X194" s="115">
        <v>0</v>
      </c>
      <c r="Y194" s="115">
        <f>$X$194*$K$194</f>
        <v>0</v>
      </c>
      <c r="Z194" s="115">
        <v>0</v>
      </c>
      <c r="AA194" s="116">
        <f>$Z$194*$K$194</f>
        <v>0</v>
      </c>
      <c r="AR194" s="9" t="s">
        <v>135</v>
      </c>
      <c r="AT194" s="9" t="s">
        <v>131</v>
      </c>
      <c r="AU194" s="9" t="s">
        <v>90</v>
      </c>
      <c r="AY194" s="9" t="s">
        <v>130</v>
      </c>
      <c r="BE194" s="91">
        <f>IF($U$194="základní",$N$194,0)</f>
        <v>0</v>
      </c>
      <c r="BF194" s="91">
        <f>IF($U$194="snížená",$N$194,0)</f>
        <v>0</v>
      </c>
      <c r="BG194" s="91">
        <f>IF($U$194="zákl. přenesená",$N$194,0)</f>
        <v>0</v>
      </c>
      <c r="BH194" s="91">
        <f>IF($U$194="sníž. přenesená",$N$194,0)</f>
        <v>0</v>
      </c>
      <c r="BI194" s="91">
        <f>IF($U$194="nulová",$N$194,0)</f>
        <v>0</v>
      </c>
      <c r="BJ194" s="9" t="s">
        <v>17</v>
      </c>
      <c r="BK194" s="91">
        <f>ROUND($L$194*$K$194,2)</f>
        <v>0</v>
      </c>
      <c r="BL194" s="9" t="s">
        <v>135</v>
      </c>
    </row>
    <row r="195" spans="2:51" s="9" customFormat="1" ht="15.75" customHeight="1">
      <c r="B195" s="117"/>
      <c r="E195" s="118"/>
      <c r="F195" s="183" t="s">
        <v>210</v>
      </c>
      <c r="G195" s="183"/>
      <c r="H195" s="183"/>
      <c r="I195" s="183"/>
      <c r="K195" s="119">
        <v>208.6</v>
      </c>
      <c r="R195" s="120"/>
      <c r="T195" s="121"/>
      <c r="AA195" s="122"/>
      <c r="AT195" s="118" t="s">
        <v>137</v>
      </c>
      <c r="AU195" s="118" t="s">
        <v>90</v>
      </c>
      <c r="AV195" s="118" t="s">
        <v>90</v>
      </c>
      <c r="AW195" s="118" t="s">
        <v>98</v>
      </c>
      <c r="AX195" s="118" t="s">
        <v>73</v>
      </c>
      <c r="AY195" s="118" t="s">
        <v>130</v>
      </c>
    </row>
    <row r="196" spans="2:51" s="9" customFormat="1" ht="15.75" customHeight="1">
      <c r="B196" s="117"/>
      <c r="E196" s="118"/>
      <c r="F196" s="183" t="s">
        <v>211</v>
      </c>
      <c r="G196" s="183"/>
      <c r="H196" s="183"/>
      <c r="I196" s="183"/>
      <c r="K196" s="119">
        <v>180.95</v>
      </c>
      <c r="R196" s="120"/>
      <c r="T196" s="121"/>
      <c r="AA196" s="122"/>
      <c r="AT196" s="118"/>
      <c r="AU196" s="118"/>
      <c r="AV196" s="118"/>
      <c r="AW196" s="118"/>
      <c r="AX196" s="118"/>
      <c r="AY196" s="118"/>
    </row>
    <row r="197" spans="2:51" s="9" customFormat="1" ht="15.75" customHeight="1">
      <c r="B197" s="117"/>
      <c r="E197" s="118"/>
      <c r="F197" s="183" t="s">
        <v>212</v>
      </c>
      <c r="G197" s="183"/>
      <c r="H197" s="183"/>
      <c r="I197" s="183"/>
      <c r="K197" s="119">
        <v>80.29</v>
      </c>
      <c r="R197" s="120"/>
      <c r="T197" s="121"/>
      <c r="AA197" s="122"/>
      <c r="AT197" s="118"/>
      <c r="AU197" s="118"/>
      <c r="AV197" s="118"/>
      <c r="AW197" s="118"/>
      <c r="AX197" s="118"/>
      <c r="AY197" s="118"/>
    </row>
    <row r="198" spans="2:51" s="9" customFormat="1" ht="15.75" customHeight="1">
      <c r="B198" s="117"/>
      <c r="E198" s="118"/>
      <c r="F198" s="183" t="s">
        <v>213</v>
      </c>
      <c r="G198" s="183"/>
      <c r="H198" s="183"/>
      <c r="I198" s="183"/>
      <c r="K198" s="119">
        <v>138.656</v>
      </c>
      <c r="R198" s="120"/>
      <c r="T198" s="121"/>
      <c r="AA198" s="122"/>
      <c r="AT198" s="118"/>
      <c r="AU198" s="118"/>
      <c r="AV198" s="118"/>
      <c r="AW198" s="118"/>
      <c r="AX198" s="118"/>
      <c r="AY198" s="118"/>
    </row>
    <row r="199" spans="2:51" s="9" customFormat="1" ht="15.75" customHeight="1">
      <c r="B199" s="117"/>
      <c r="E199" s="118"/>
      <c r="F199" s="183" t="s">
        <v>214</v>
      </c>
      <c r="G199" s="183"/>
      <c r="H199" s="183"/>
      <c r="I199" s="183"/>
      <c r="K199" s="119">
        <v>445.778</v>
      </c>
      <c r="R199" s="120"/>
      <c r="T199" s="121"/>
      <c r="AA199" s="122"/>
      <c r="AT199" s="118" t="s">
        <v>137</v>
      </c>
      <c r="AU199" s="118" t="s">
        <v>90</v>
      </c>
      <c r="AV199" s="118" t="s">
        <v>90</v>
      </c>
      <c r="AW199" s="118" t="s">
        <v>98</v>
      </c>
      <c r="AX199" s="118" t="s">
        <v>73</v>
      </c>
      <c r="AY199" s="118" t="s">
        <v>130</v>
      </c>
    </row>
    <row r="200" spans="2:51" s="9" customFormat="1" ht="15.75" customHeight="1">
      <c r="B200" s="129"/>
      <c r="E200" s="130"/>
      <c r="F200" s="187" t="s">
        <v>147</v>
      </c>
      <c r="G200" s="187"/>
      <c r="H200" s="187"/>
      <c r="I200" s="187"/>
      <c r="K200" s="132">
        <f>SUM(K195:K199)</f>
        <v>1054.274</v>
      </c>
      <c r="R200" s="133"/>
      <c r="T200" s="134"/>
      <c r="AA200" s="135"/>
      <c r="AT200" s="130" t="s">
        <v>137</v>
      </c>
      <c r="AU200" s="130" t="s">
        <v>90</v>
      </c>
      <c r="AV200" s="130" t="s">
        <v>135</v>
      </c>
      <c r="AW200" s="130" t="s">
        <v>98</v>
      </c>
      <c r="AX200" s="130" t="s">
        <v>17</v>
      </c>
      <c r="AY200" s="130" t="s">
        <v>130</v>
      </c>
    </row>
    <row r="201" spans="2:64" s="9" customFormat="1" ht="39" customHeight="1">
      <c r="B201" s="21"/>
      <c r="C201" s="110" t="s">
        <v>215</v>
      </c>
      <c r="D201" s="110" t="s">
        <v>131</v>
      </c>
      <c r="E201" s="111" t="s">
        <v>216</v>
      </c>
      <c r="F201" s="181" t="s">
        <v>217</v>
      </c>
      <c r="G201" s="181"/>
      <c r="H201" s="181"/>
      <c r="I201" s="181"/>
      <c r="J201" s="112" t="s">
        <v>140</v>
      </c>
      <c r="K201" s="113">
        <v>63256.44</v>
      </c>
      <c r="L201" s="182"/>
      <c r="M201" s="182"/>
      <c r="N201" s="182">
        <f>ROUND($L$201*$K$201,2)</f>
        <v>0</v>
      </c>
      <c r="O201" s="182"/>
      <c r="P201" s="182"/>
      <c r="Q201" s="182"/>
      <c r="R201" s="22"/>
      <c r="T201" s="114"/>
      <c r="U201" s="27" t="s">
        <v>38</v>
      </c>
      <c r="V201" s="115">
        <v>0</v>
      </c>
      <c r="W201" s="115">
        <f>$V$201*$K$201</f>
        <v>0</v>
      </c>
      <c r="X201" s="115">
        <v>0</v>
      </c>
      <c r="Y201" s="115">
        <f>$X$201*$K$201</f>
        <v>0</v>
      </c>
      <c r="Z201" s="115">
        <v>0</v>
      </c>
      <c r="AA201" s="116">
        <f>$Z$201*$K$201</f>
        <v>0</v>
      </c>
      <c r="AR201" s="9" t="s">
        <v>135</v>
      </c>
      <c r="AT201" s="9" t="s">
        <v>131</v>
      </c>
      <c r="AU201" s="9" t="s">
        <v>90</v>
      </c>
      <c r="AY201" s="9" t="s">
        <v>130</v>
      </c>
      <c r="BE201" s="91">
        <f>IF($U$201="základní",$N$201,0)</f>
        <v>0</v>
      </c>
      <c r="BF201" s="91">
        <f>IF($U$201="snížená",$N$201,0)</f>
        <v>0</v>
      </c>
      <c r="BG201" s="91">
        <f>IF($U$201="zákl. přenesená",$N$201,0)</f>
        <v>0</v>
      </c>
      <c r="BH201" s="91">
        <f>IF($U$201="sníž. přenesená",$N$201,0)</f>
        <v>0</v>
      </c>
      <c r="BI201" s="91">
        <f>IF($U$201="nulová",$N$201,0)</f>
        <v>0</v>
      </c>
      <c r="BJ201" s="9" t="s">
        <v>17</v>
      </c>
      <c r="BK201" s="91">
        <f>ROUND($L$201*$K$201,2)</f>
        <v>0</v>
      </c>
      <c r="BL201" s="9" t="s">
        <v>135</v>
      </c>
    </row>
    <row r="202" spans="2:51" s="9" customFormat="1" ht="15.75" customHeight="1">
      <c r="B202" s="117"/>
      <c r="E202" s="118"/>
      <c r="F202" s="183" t="s">
        <v>218</v>
      </c>
      <c r="G202" s="183"/>
      <c r="H202" s="183"/>
      <c r="I202" s="183"/>
      <c r="K202" s="119" t="s">
        <v>219</v>
      </c>
      <c r="R202" s="120"/>
      <c r="T202" s="121"/>
      <c r="AA202" s="122"/>
      <c r="AT202" s="118" t="s">
        <v>137</v>
      </c>
      <c r="AU202" s="118" t="s">
        <v>90</v>
      </c>
      <c r="AV202" s="118" t="s">
        <v>90</v>
      </c>
      <c r="AW202" s="118" t="s">
        <v>98</v>
      </c>
      <c r="AX202" s="118" t="s">
        <v>17</v>
      </c>
      <c r="AY202" s="118" t="s">
        <v>130</v>
      </c>
    </row>
    <row r="203" spans="2:64" s="9" customFormat="1" ht="39" customHeight="1">
      <c r="B203" s="21"/>
      <c r="C203" s="110" t="s">
        <v>220</v>
      </c>
      <c r="D203" s="110" t="s">
        <v>131</v>
      </c>
      <c r="E203" s="111" t="s">
        <v>221</v>
      </c>
      <c r="F203" s="181" t="s">
        <v>222</v>
      </c>
      <c r="G203" s="181"/>
      <c r="H203" s="181"/>
      <c r="I203" s="181"/>
      <c r="J203" s="112" t="s">
        <v>140</v>
      </c>
      <c r="K203" s="113">
        <v>1054.274</v>
      </c>
      <c r="L203" s="182"/>
      <c r="M203" s="182"/>
      <c r="N203" s="182">
        <f>ROUND($L$203*$K$203,2)</f>
        <v>0</v>
      </c>
      <c r="O203" s="182"/>
      <c r="P203" s="182"/>
      <c r="Q203" s="182"/>
      <c r="R203" s="22"/>
      <c r="T203" s="114"/>
      <c r="U203" s="27" t="s">
        <v>38</v>
      </c>
      <c r="V203" s="115">
        <v>0.1</v>
      </c>
      <c r="W203" s="115">
        <f>$V$203*$K$203</f>
        <v>105.42739999999999</v>
      </c>
      <c r="X203" s="115">
        <v>0</v>
      </c>
      <c r="Y203" s="115">
        <f>$X$203*$K$203</f>
        <v>0</v>
      </c>
      <c r="Z203" s="115">
        <v>0</v>
      </c>
      <c r="AA203" s="116">
        <f>$Z$203*$K$203</f>
        <v>0</v>
      </c>
      <c r="AR203" s="9" t="s">
        <v>135</v>
      </c>
      <c r="AT203" s="9" t="s">
        <v>131</v>
      </c>
      <c r="AU203" s="9" t="s">
        <v>90</v>
      </c>
      <c r="AY203" s="9" t="s">
        <v>130</v>
      </c>
      <c r="BE203" s="91">
        <f>IF($U$203="základní",$N$203,0)</f>
        <v>0</v>
      </c>
      <c r="BF203" s="91">
        <f>IF($U$203="snížená",$N$203,0)</f>
        <v>0</v>
      </c>
      <c r="BG203" s="91">
        <f>IF($U$203="zákl. přenesená",$N$203,0)</f>
        <v>0</v>
      </c>
      <c r="BH203" s="91">
        <f>IF($U$203="sníž. přenesená",$N$203,0)</f>
        <v>0</v>
      </c>
      <c r="BI203" s="91">
        <f>IF($U$203="nulová",$N$203,0)</f>
        <v>0</v>
      </c>
      <c r="BJ203" s="9" t="s">
        <v>17</v>
      </c>
      <c r="BK203" s="91">
        <f>ROUND($L$203*$K$203,2)</f>
        <v>0</v>
      </c>
      <c r="BL203" s="9" t="s">
        <v>135</v>
      </c>
    </row>
    <row r="204" spans="2:51" s="9" customFormat="1" ht="15.75" customHeight="1">
      <c r="B204" s="117"/>
      <c r="E204" s="118"/>
      <c r="F204" s="183">
        <v>1054.274</v>
      </c>
      <c r="G204" s="183"/>
      <c r="H204" s="183"/>
      <c r="I204" s="183"/>
      <c r="K204" s="119">
        <v>1054.274</v>
      </c>
      <c r="R204" s="120"/>
      <c r="T204" s="121"/>
      <c r="AA204" s="122"/>
      <c r="AT204" s="118" t="s">
        <v>137</v>
      </c>
      <c r="AU204" s="118" t="s">
        <v>90</v>
      </c>
      <c r="AV204" s="118" t="s">
        <v>90</v>
      </c>
      <c r="AW204" s="118" t="s">
        <v>98</v>
      </c>
      <c r="AX204" s="118" t="s">
        <v>17</v>
      </c>
      <c r="AY204" s="118" t="s">
        <v>130</v>
      </c>
    </row>
    <row r="205" spans="2:64" s="9" customFormat="1" ht="27" customHeight="1">
      <c r="B205" s="21"/>
      <c r="C205" s="110" t="s">
        <v>223</v>
      </c>
      <c r="D205" s="110" t="s">
        <v>131</v>
      </c>
      <c r="E205" s="111" t="s">
        <v>224</v>
      </c>
      <c r="F205" s="181" t="s">
        <v>225</v>
      </c>
      <c r="G205" s="181"/>
      <c r="H205" s="181"/>
      <c r="I205" s="181"/>
      <c r="J205" s="112" t="s">
        <v>140</v>
      </c>
      <c r="K205" s="113">
        <v>1054.274</v>
      </c>
      <c r="L205" s="182"/>
      <c r="M205" s="182"/>
      <c r="N205" s="182">
        <f>ROUND($L$205*$K$205,2)</f>
        <v>0</v>
      </c>
      <c r="O205" s="182"/>
      <c r="P205" s="182"/>
      <c r="Q205" s="182"/>
      <c r="R205" s="22"/>
      <c r="T205" s="114"/>
      <c r="U205" s="27" t="s">
        <v>38</v>
      </c>
      <c r="V205" s="115">
        <v>0.033</v>
      </c>
      <c r="W205" s="115">
        <f>$V$205*$K$205</f>
        <v>34.791042</v>
      </c>
      <c r="X205" s="115">
        <v>0</v>
      </c>
      <c r="Y205" s="115">
        <f>$X$205*$K$205</f>
        <v>0</v>
      </c>
      <c r="Z205" s="115">
        <v>0</v>
      </c>
      <c r="AA205" s="116">
        <f>$Z$205*$K$205</f>
        <v>0</v>
      </c>
      <c r="AR205" s="9" t="s">
        <v>135</v>
      </c>
      <c r="AT205" s="9" t="s">
        <v>131</v>
      </c>
      <c r="AU205" s="9" t="s">
        <v>90</v>
      </c>
      <c r="AY205" s="9" t="s">
        <v>130</v>
      </c>
      <c r="BE205" s="91">
        <f>IF($U$205="základní",$N$205,0)</f>
        <v>0</v>
      </c>
      <c r="BF205" s="91">
        <f>IF($U$205="snížená",$N$205,0)</f>
        <v>0</v>
      </c>
      <c r="BG205" s="91">
        <f>IF($U$205="zákl. přenesená",$N$205,0)</f>
        <v>0</v>
      </c>
      <c r="BH205" s="91">
        <f>IF($U$205="sníž. přenesená",$N$205,0)</f>
        <v>0</v>
      </c>
      <c r="BI205" s="91">
        <f>IF($U$205="nulová",$N$205,0)</f>
        <v>0</v>
      </c>
      <c r="BJ205" s="9" t="s">
        <v>17</v>
      </c>
      <c r="BK205" s="91">
        <f>ROUND($L$205*$K$205,2)</f>
        <v>0</v>
      </c>
      <c r="BL205" s="9" t="s">
        <v>135</v>
      </c>
    </row>
    <row r="206" spans="2:64" s="9" customFormat="1" ht="27" customHeight="1">
      <c r="B206" s="21"/>
      <c r="C206" s="110" t="s">
        <v>226</v>
      </c>
      <c r="D206" s="110" t="s">
        <v>131</v>
      </c>
      <c r="E206" s="111" t="s">
        <v>227</v>
      </c>
      <c r="F206" s="181" t="s">
        <v>228</v>
      </c>
      <c r="G206" s="181"/>
      <c r="H206" s="181"/>
      <c r="I206" s="181"/>
      <c r="J206" s="112" t="s">
        <v>140</v>
      </c>
      <c r="K206" s="113">
        <v>1054.274</v>
      </c>
      <c r="L206" s="182"/>
      <c r="M206" s="182"/>
      <c r="N206" s="182">
        <f>ROUND($L$206*$K$206,2)</f>
        <v>0</v>
      </c>
      <c r="O206" s="182"/>
      <c r="P206" s="182"/>
      <c r="Q206" s="182"/>
      <c r="R206" s="22"/>
      <c r="T206" s="114"/>
      <c r="U206" s="27" t="s">
        <v>38</v>
      </c>
      <c r="V206" s="115">
        <v>0.061</v>
      </c>
      <c r="W206" s="115">
        <f>$V$206*$K$206</f>
        <v>64.31071399999999</v>
      </c>
      <c r="X206" s="115">
        <v>0</v>
      </c>
      <c r="Y206" s="115">
        <f>$X$206*$K$206</f>
        <v>0</v>
      </c>
      <c r="Z206" s="115">
        <v>0</v>
      </c>
      <c r="AA206" s="116">
        <f>$Z$206*$K$206</f>
        <v>0</v>
      </c>
      <c r="AR206" s="9" t="s">
        <v>135</v>
      </c>
      <c r="AT206" s="9" t="s">
        <v>131</v>
      </c>
      <c r="AU206" s="9" t="s">
        <v>90</v>
      </c>
      <c r="AY206" s="9" t="s">
        <v>130</v>
      </c>
      <c r="BE206" s="91">
        <f>IF($U$206="základní",$N$206,0)</f>
        <v>0</v>
      </c>
      <c r="BF206" s="91">
        <f>IF($U$206="snížená",$N$206,0)</f>
        <v>0</v>
      </c>
      <c r="BG206" s="91">
        <f>IF($U$206="zákl. přenesená",$N$206,0)</f>
        <v>0</v>
      </c>
      <c r="BH206" s="91">
        <f>IF($U$206="sníž. přenesená",$N$206,0)</f>
        <v>0</v>
      </c>
      <c r="BI206" s="91">
        <f>IF($U$206="nulová",$N$206,0)</f>
        <v>0</v>
      </c>
      <c r="BJ206" s="9" t="s">
        <v>17</v>
      </c>
      <c r="BK206" s="91">
        <f>ROUND($L$206*$K$206,2)</f>
        <v>0</v>
      </c>
      <c r="BL206" s="9" t="s">
        <v>135</v>
      </c>
    </row>
    <row r="207" spans="2:51" s="9" customFormat="1" ht="15.75" customHeight="1">
      <c r="B207" s="117"/>
      <c r="E207" s="118"/>
      <c r="F207" s="183">
        <v>1054.274</v>
      </c>
      <c r="G207" s="183"/>
      <c r="H207" s="183"/>
      <c r="I207" s="183"/>
      <c r="K207" s="119">
        <v>1054.274</v>
      </c>
      <c r="R207" s="120"/>
      <c r="T207" s="121"/>
      <c r="AA207" s="122"/>
      <c r="AT207" s="118" t="s">
        <v>137</v>
      </c>
      <c r="AU207" s="118" t="s">
        <v>90</v>
      </c>
      <c r="AV207" s="118" t="s">
        <v>90</v>
      </c>
      <c r="AW207" s="118" t="s">
        <v>98</v>
      </c>
      <c r="AX207" s="118" t="s">
        <v>73</v>
      </c>
      <c r="AY207" s="118" t="s">
        <v>130</v>
      </c>
    </row>
    <row r="208" spans="2:64" s="9" customFormat="1" ht="27" customHeight="1">
      <c r="B208" s="21"/>
      <c r="C208" s="110" t="s">
        <v>9</v>
      </c>
      <c r="D208" s="110" t="s">
        <v>131</v>
      </c>
      <c r="E208" s="111" t="s">
        <v>229</v>
      </c>
      <c r="F208" s="181" t="s">
        <v>230</v>
      </c>
      <c r="G208" s="181"/>
      <c r="H208" s="181"/>
      <c r="I208" s="181"/>
      <c r="J208" s="112" t="s">
        <v>140</v>
      </c>
      <c r="K208" s="113">
        <v>63256.44</v>
      </c>
      <c r="L208" s="182"/>
      <c r="M208" s="182"/>
      <c r="N208" s="182">
        <f>ROUND($L$208*$K$208,2)</f>
        <v>0</v>
      </c>
      <c r="O208" s="182"/>
      <c r="P208" s="182"/>
      <c r="Q208" s="182"/>
      <c r="R208" s="22"/>
      <c r="T208" s="114"/>
      <c r="U208" s="27" t="s">
        <v>38</v>
      </c>
      <c r="V208" s="115">
        <v>0</v>
      </c>
      <c r="W208" s="115">
        <f>$V$208*$K$208</f>
        <v>0</v>
      </c>
      <c r="X208" s="115">
        <v>0</v>
      </c>
      <c r="Y208" s="115">
        <f>$X$208*$K$208</f>
        <v>0</v>
      </c>
      <c r="Z208" s="115">
        <v>0</v>
      </c>
      <c r="AA208" s="116">
        <f>$Z$208*$K$208</f>
        <v>0</v>
      </c>
      <c r="AR208" s="9" t="s">
        <v>135</v>
      </c>
      <c r="AT208" s="9" t="s">
        <v>131</v>
      </c>
      <c r="AU208" s="9" t="s">
        <v>90</v>
      </c>
      <c r="AY208" s="9" t="s">
        <v>130</v>
      </c>
      <c r="BE208" s="91">
        <f>IF($U$208="základní",$N$208,0)</f>
        <v>0</v>
      </c>
      <c r="BF208" s="91">
        <f>IF($U$208="snížená",$N$208,0)</f>
        <v>0</v>
      </c>
      <c r="BG208" s="91">
        <f>IF($U$208="zákl. přenesená",$N$208,0)</f>
        <v>0</v>
      </c>
      <c r="BH208" s="91">
        <f>IF($U$208="sníž. přenesená",$N$208,0)</f>
        <v>0</v>
      </c>
      <c r="BI208" s="91">
        <f>IF($U$208="nulová",$N$208,0)</f>
        <v>0</v>
      </c>
      <c r="BJ208" s="9" t="s">
        <v>17</v>
      </c>
      <c r="BK208" s="91">
        <f>ROUND($L$208*$K$208,2)</f>
        <v>0</v>
      </c>
      <c r="BL208" s="9" t="s">
        <v>135</v>
      </c>
    </row>
    <row r="209" spans="2:51" s="9" customFormat="1" ht="15.75" customHeight="1">
      <c r="B209" s="117"/>
      <c r="E209" s="118"/>
      <c r="F209" s="183" t="s">
        <v>231</v>
      </c>
      <c r="G209" s="183"/>
      <c r="H209" s="183"/>
      <c r="I209" s="183"/>
      <c r="K209" s="119" t="s">
        <v>232</v>
      </c>
      <c r="R209" s="120"/>
      <c r="T209" s="121"/>
      <c r="AA209" s="122"/>
      <c r="AT209" s="118" t="s">
        <v>137</v>
      </c>
      <c r="AU209" s="118" t="s">
        <v>90</v>
      </c>
      <c r="AV209" s="118" t="s">
        <v>90</v>
      </c>
      <c r="AW209" s="118" t="s">
        <v>98</v>
      </c>
      <c r="AX209" s="118" t="s">
        <v>73</v>
      </c>
      <c r="AY209" s="118" t="s">
        <v>130</v>
      </c>
    </row>
    <row r="210" spans="2:64" s="9" customFormat="1" ht="27" customHeight="1">
      <c r="B210" s="21"/>
      <c r="C210" s="110" t="s">
        <v>233</v>
      </c>
      <c r="D210" s="110" t="s">
        <v>131</v>
      </c>
      <c r="E210" s="111" t="s">
        <v>234</v>
      </c>
      <c r="F210" s="181" t="s">
        <v>235</v>
      </c>
      <c r="G210" s="181"/>
      <c r="H210" s="181"/>
      <c r="I210" s="181"/>
      <c r="J210" s="112" t="s">
        <v>140</v>
      </c>
      <c r="K210" s="113">
        <v>1151.8</v>
      </c>
      <c r="L210" s="182"/>
      <c r="M210" s="182"/>
      <c r="N210" s="182">
        <f>ROUND($L$210*$K$210,2)</f>
        <v>0</v>
      </c>
      <c r="O210" s="182"/>
      <c r="P210" s="182"/>
      <c r="Q210" s="182"/>
      <c r="R210" s="22"/>
      <c r="T210" s="114"/>
      <c r="U210" s="27" t="s">
        <v>38</v>
      </c>
      <c r="V210" s="115">
        <v>0.1</v>
      </c>
      <c r="W210" s="115">
        <f>$V$210*$K$210</f>
        <v>115.18</v>
      </c>
      <c r="X210" s="115">
        <v>0</v>
      </c>
      <c r="Y210" s="115">
        <f>$X$210*$K$210</f>
        <v>0</v>
      </c>
      <c r="Z210" s="115">
        <v>0.029</v>
      </c>
      <c r="AA210" s="116">
        <f>$Z$210*$K$210</f>
        <v>33.4022</v>
      </c>
      <c r="AR210" s="9" t="s">
        <v>135</v>
      </c>
      <c r="AT210" s="9" t="s">
        <v>131</v>
      </c>
      <c r="AU210" s="9" t="s">
        <v>90</v>
      </c>
      <c r="AY210" s="9" t="s">
        <v>130</v>
      </c>
      <c r="BE210" s="91">
        <f>IF($U$210="základní",$N$210,0)</f>
        <v>0</v>
      </c>
      <c r="BF210" s="91">
        <f>IF($U$210="snížená",$N$210,0)</f>
        <v>0</v>
      </c>
      <c r="BG210" s="91">
        <f>IF($U$210="zákl. přenesená",$N$210,0)</f>
        <v>0</v>
      </c>
      <c r="BH210" s="91">
        <f>IF($U$210="sníž. přenesená",$N$210,0)</f>
        <v>0</v>
      </c>
      <c r="BI210" s="91">
        <f>IF($U$210="nulová",$N$210,0)</f>
        <v>0</v>
      </c>
      <c r="BJ210" s="9" t="s">
        <v>17</v>
      </c>
      <c r="BK210" s="91">
        <f>ROUND($L$210*$K$210,2)</f>
        <v>0</v>
      </c>
      <c r="BL210" s="9" t="s">
        <v>135</v>
      </c>
    </row>
    <row r="211" spans="2:51" s="9" customFormat="1" ht="15.75" customHeight="1">
      <c r="B211" s="117"/>
      <c r="E211" s="118"/>
      <c r="F211" s="183" t="s">
        <v>157</v>
      </c>
      <c r="G211" s="183"/>
      <c r="H211" s="183"/>
      <c r="I211" s="183"/>
      <c r="K211" s="119">
        <v>229.8</v>
      </c>
      <c r="R211" s="120"/>
      <c r="T211" s="121"/>
      <c r="AA211" s="122"/>
      <c r="AT211" s="118" t="s">
        <v>137</v>
      </c>
      <c r="AU211" s="118" t="s">
        <v>90</v>
      </c>
      <c r="AV211" s="118" t="s">
        <v>90</v>
      </c>
      <c r="AW211" s="118" t="s">
        <v>98</v>
      </c>
      <c r="AX211" s="118" t="s">
        <v>73</v>
      </c>
      <c r="AY211" s="118" t="s">
        <v>130</v>
      </c>
    </row>
    <row r="212" spans="2:51" s="9" customFormat="1" ht="15.75" customHeight="1">
      <c r="B212" s="117"/>
      <c r="E212" s="118"/>
      <c r="F212" s="183" t="s">
        <v>158</v>
      </c>
      <c r="G212" s="183"/>
      <c r="H212" s="183"/>
      <c r="I212" s="183"/>
      <c r="K212" s="119">
        <v>187.1</v>
      </c>
      <c r="R212" s="120"/>
      <c r="T212" s="121"/>
      <c r="AA212" s="122"/>
      <c r="AT212" s="118"/>
      <c r="AU212" s="118"/>
      <c r="AV212" s="118"/>
      <c r="AW212" s="118"/>
      <c r="AX212" s="118"/>
      <c r="AY212" s="118"/>
    </row>
    <row r="213" spans="2:51" s="9" customFormat="1" ht="15.75" customHeight="1">
      <c r="B213" s="117"/>
      <c r="E213" s="118"/>
      <c r="F213" s="183" t="s">
        <v>159</v>
      </c>
      <c r="G213" s="183"/>
      <c r="H213" s="183"/>
      <c r="I213" s="183"/>
      <c r="K213" s="119">
        <v>97.6</v>
      </c>
      <c r="R213" s="120"/>
      <c r="T213" s="121"/>
      <c r="AA213" s="122"/>
      <c r="AT213" s="118"/>
      <c r="AU213" s="118"/>
      <c r="AV213" s="118"/>
      <c r="AW213" s="118"/>
      <c r="AX213" s="118"/>
      <c r="AY213" s="118"/>
    </row>
    <row r="214" spans="2:51" s="9" customFormat="1" ht="15.75" customHeight="1">
      <c r="B214" s="117"/>
      <c r="E214" s="118"/>
      <c r="F214" s="183" t="s">
        <v>160</v>
      </c>
      <c r="G214" s="183"/>
      <c r="H214" s="183"/>
      <c r="I214" s="183"/>
      <c r="K214" s="119">
        <v>182.1</v>
      </c>
      <c r="R214" s="120"/>
      <c r="T214" s="121"/>
      <c r="AA214" s="122"/>
      <c r="AT214" s="118"/>
      <c r="AU214" s="118"/>
      <c r="AV214" s="118"/>
      <c r="AW214" s="118"/>
      <c r="AX214" s="118"/>
      <c r="AY214" s="118"/>
    </row>
    <row r="215" spans="2:51" s="9" customFormat="1" ht="15.75" customHeight="1">
      <c r="B215" s="117"/>
      <c r="E215" s="118"/>
      <c r="F215" s="183" t="s">
        <v>161</v>
      </c>
      <c r="G215" s="183"/>
      <c r="H215" s="183"/>
      <c r="I215" s="183"/>
      <c r="K215" s="119">
        <v>455.2</v>
      </c>
      <c r="R215" s="120"/>
      <c r="T215" s="121"/>
      <c r="AA215" s="122"/>
      <c r="AT215" s="118" t="s">
        <v>137</v>
      </c>
      <c r="AU215" s="118" t="s">
        <v>90</v>
      </c>
      <c r="AV215" s="118" t="s">
        <v>90</v>
      </c>
      <c r="AW215" s="118" t="s">
        <v>98</v>
      </c>
      <c r="AX215" s="118" t="s">
        <v>73</v>
      </c>
      <c r="AY215" s="118" t="s">
        <v>130</v>
      </c>
    </row>
    <row r="216" spans="2:51" s="9" customFormat="1" ht="15.75" customHeight="1">
      <c r="B216" s="129"/>
      <c r="E216" s="130"/>
      <c r="F216" s="187" t="s">
        <v>147</v>
      </c>
      <c r="G216" s="187"/>
      <c r="H216" s="187"/>
      <c r="I216" s="187"/>
      <c r="K216" s="132">
        <f>SUM(K211:K215)</f>
        <v>1151.8</v>
      </c>
      <c r="R216" s="133"/>
      <c r="T216" s="134"/>
      <c r="AA216" s="135"/>
      <c r="AT216" s="130" t="s">
        <v>137</v>
      </c>
      <c r="AU216" s="130" t="s">
        <v>90</v>
      </c>
      <c r="AV216" s="130" t="s">
        <v>135</v>
      </c>
      <c r="AW216" s="130" t="s">
        <v>73</v>
      </c>
      <c r="AX216" s="130" t="s">
        <v>17</v>
      </c>
      <c r="AY216" s="130" t="s">
        <v>130</v>
      </c>
    </row>
    <row r="217" spans="2:51" s="9" customFormat="1" ht="15.75" customHeight="1">
      <c r="B217" s="129"/>
      <c r="E217" s="130"/>
      <c r="F217" s="131"/>
      <c r="G217" s="131"/>
      <c r="H217" s="131"/>
      <c r="I217" s="131"/>
      <c r="K217" s="132"/>
      <c r="R217" s="133"/>
      <c r="T217" s="134"/>
      <c r="AA217" s="135"/>
      <c r="AT217" s="130"/>
      <c r="AU217" s="130"/>
      <c r="AV217" s="130"/>
      <c r="AW217" s="130"/>
      <c r="AX217" s="130"/>
      <c r="AY217" s="130"/>
    </row>
    <row r="218" spans="2:51" s="9" customFormat="1" ht="37.5" customHeight="1">
      <c r="B218" s="129"/>
      <c r="C218" s="110" t="s">
        <v>233</v>
      </c>
      <c r="D218" s="110" t="s">
        <v>131</v>
      </c>
      <c r="E218" s="111" t="s">
        <v>234</v>
      </c>
      <c r="F218" s="181" t="s">
        <v>236</v>
      </c>
      <c r="G218" s="181"/>
      <c r="H218" s="181"/>
      <c r="I218" s="181"/>
      <c r="J218" s="112" t="s">
        <v>140</v>
      </c>
      <c r="K218" s="113">
        <v>50.6</v>
      </c>
      <c r="L218" s="182"/>
      <c r="M218" s="182"/>
      <c r="N218" s="182">
        <f>ROUND($L$218*$K$218,2)</f>
        <v>0</v>
      </c>
      <c r="O218" s="182"/>
      <c r="P218" s="182"/>
      <c r="Q218" s="182"/>
      <c r="R218" s="133"/>
      <c r="T218" s="134"/>
      <c r="AA218" s="135"/>
      <c r="AT218" s="130"/>
      <c r="AU218" s="130"/>
      <c r="AV218" s="130"/>
      <c r="AW218" s="130"/>
      <c r="AX218" s="130"/>
      <c r="AY218" s="130"/>
    </row>
    <row r="219" spans="2:51" s="9" customFormat="1" ht="15.75" customHeight="1">
      <c r="B219" s="129"/>
      <c r="E219" s="130"/>
      <c r="F219" s="183" t="s">
        <v>237</v>
      </c>
      <c r="G219" s="183"/>
      <c r="H219" s="183"/>
      <c r="I219" s="183"/>
      <c r="K219" s="119">
        <v>20.5</v>
      </c>
      <c r="R219" s="133"/>
      <c r="T219" s="134"/>
      <c r="AA219" s="135"/>
      <c r="AT219" s="130"/>
      <c r="AU219" s="130"/>
      <c r="AV219" s="130"/>
      <c r="AW219" s="130"/>
      <c r="AX219" s="130"/>
      <c r="AY219" s="130"/>
    </row>
    <row r="220" spans="2:51" s="9" customFormat="1" ht="15.75" customHeight="1">
      <c r="B220" s="129"/>
      <c r="E220" s="130"/>
      <c r="F220" s="183" t="s">
        <v>142</v>
      </c>
      <c r="G220" s="183"/>
      <c r="H220" s="183"/>
      <c r="I220" s="183"/>
      <c r="K220" s="119">
        <v>12.1</v>
      </c>
      <c r="R220" s="133"/>
      <c r="T220" s="134"/>
      <c r="AA220" s="135"/>
      <c r="AT220" s="130"/>
      <c r="AU220" s="130"/>
      <c r="AV220" s="130"/>
      <c r="AW220" s="130"/>
      <c r="AX220" s="130"/>
      <c r="AY220" s="130"/>
    </row>
    <row r="221" spans="2:51" s="9" customFormat="1" ht="15.75" customHeight="1">
      <c r="B221" s="129"/>
      <c r="E221" s="130"/>
      <c r="F221" s="183" t="s">
        <v>143</v>
      </c>
      <c r="G221" s="183"/>
      <c r="H221" s="183"/>
      <c r="I221" s="183"/>
      <c r="K221" s="119">
        <v>6.5</v>
      </c>
      <c r="R221" s="133"/>
      <c r="T221" s="134"/>
      <c r="AA221" s="135"/>
      <c r="AT221" s="130"/>
      <c r="AU221" s="130"/>
      <c r="AV221" s="130"/>
      <c r="AW221" s="130"/>
      <c r="AX221" s="130"/>
      <c r="AY221" s="130"/>
    </row>
    <row r="222" spans="2:51" s="9" customFormat="1" ht="15.75" customHeight="1">
      <c r="B222" s="129"/>
      <c r="E222" s="130"/>
      <c r="F222" s="183" t="s">
        <v>177</v>
      </c>
      <c r="G222" s="183"/>
      <c r="H222" s="183"/>
      <c r="I222" s="183"/>
      <c r="K222" s="119">
        <v>11.5</v>
      </c>
      <c r="R222" s="133"/>
      <c r="T222" s="134"/>
      <c r="AA222" s="135"/>
      <c r="AT222" s="130"/>
      <c r="AU222" s="130"/>
      <c r="AV222" s="130"/>
      <c r="AW222" s="130"/>
      <c r="AX222" s="130"/>
      <c r="AY222" s="130"/>
    </row>
    <row r="223" spans="2:51" s="9" customFormat="1" ht="15.75" customHeight="1">
      <c r="B223" s="129"/>
      <c r="E223" s="130"/>
      <c r="F223" s="187" t="s">
        <v>147</v>
      </c>
      <c r="G223" s="187"/>
      <c r="H223" s="187"/>
      <c r="I223" s="187"/>
      <c r="K223" s="132">
        <f>SUM(K219:K222)</f>
        <v>50.6</v>
      </c>
      <c r="R223" s="133"/>
      <c r="T223" s="134"/>
      <c r="AA223" s="135"/>
      <c r="AT223" s="130"/>
      <c r="AU223" s="130"/>
      <c r="AV223" s="130"/>
      <c r="AW223" s="130"/>
      <c r="AX223" s="130"/>
      <c r="AY223" s="130"/>
    </row>
    <row r="224" spans="2:51" s="9" customFormat="1" ht="15.75" customHeight="1">
      <c r="B224" s="129"/>
      <c r="E224" s="130"/>
      <c r="F224" s="131"/>
      <c r="G224" s="131"/>
      <c r="H224" s="131"/>
      <c r="I224" s="131"/>
      <c r="K224" s="132"/>
      <c r="R224" s="133"/>
      <c r="T224" s="134"/>
      <c r="AA224" s="135"/>
      <c r="AT224" s="130"/>
      <c r="AU224" s="130"/>
      <c r="AV224" s="130"/>
      <c r="AW224" s="130"/>
      <c r="AX224" s="130"/>
      <c r="AY224" s="130"/>
    </row>
    <row r="225" spans="2:64" s="9" customFormat="1" ht="27" customHeight="1">
      <c r="B225" s="21"/>
      <c r="C225" s="110" t="s">
        <v>238</v>
      </c>
      <c r="D225" s="110" t="s">
        <v>131</v>
      </c>
      <c r="E225" s="111" t="s">
        <v>239</v>
      </c>
      <c r="F225" s="181" t="s">
        <v>240</v>
      </c>
      <c r="G225" s="181"/>
      <c r="H225" s="181"/>
      <c r="I225" s="181"/>
      <c r="J225" s="112" t="s">
        <v>140</v>
      </c>
      <c r="K225" s="113">
        <v>15.4</v>
      </c>
      <c r="L225" s="182"/>
      <c r="M225" s="182"/>
      <c r="N225" s="182">
        <f>ROUND($L$225*$K$225,2)</f>
        <v>0</v>
      </c>
      <c r="O225" s="182"/>
      <c r="P225" s="182"/>
      <c r="Q225" s="182"/>
      <c r="R225" s="22"/>
      <c r="T225" s="114"/>
      <c r="U225" s="27" t="s">
        <v>38</v>
      </c>
      <c r="V225" s="115">
        <v>0.548</v>
      </c>
      <c r="W225" s="115">
        <f>$V$225*$K$225</f>
        <v>8.439200000000001</v>
      </c>
      <c r="X225" s="115">
        <v>0.00116</v>
      </c>
      <c r="Y225" s="115">
        <f>$X$225*$K$225</f>
        <v>0.017864</v>
      </c>
      <c r="Z225" s="115">
        <v>0</v>
      </c>
      <c r="AA225" s="116">
        <f>$Z$225*$K$225</f>
        <v>0</v>
      </c>
      <c r="AR225" s="9" t="s">
        <v>135</v>
      </c>
      <c r="AT225" s="9" t="s">
        <v>131</v>
      </c>
      <c r="AU225" s="9" t="s">
        <v>90</v>
      </c>
      <c r="AY225" s="9" t="s">
        <v>130</v>
      </c>
      <c r="BE225" s="91">
        <f>IF($U$225="základní",$N$225,0)</f>
        <v>0</v>
      </c>
      <c r="BF225" s="91">
        <f>IF($U$225="snížená",$N$225,0)</f>
        <v>0</v>
      </c>
      <c r="BG225" s="91">
        <f>IF($U$225="zákl. přenesená",$N$225,0)</f>
        <v>0</v>
      </c>
      <c r="BH225" s="91">
        <f>IF($U$225="sníž. přenesená",$N$225,0)</f>
        <v>0</v>
      </c>
      <c r="BI225" s="91">
        <f>IF($U$225="nulová",$N$225,0)</f>
        <v>0</v>
      </c>
      <c r="BJ225" s="9" t="s">
        <v>17</v>
      </c>
      <c r="BK225" s="91">
        <f>ROUND($L$225*$K$225,2)</f>
        <v>0</v>
      </c>
      <c r="BL225" s="9" t="s">
        <v>135</v>
      </c>
    </row>
    <row r="226" spans="2:51" s="9" customFormat="1" ht="15.75" customHeight="1">
      <c r="B226" s="136"/>
      <c r="E226" s="137"/>
      <c r="F226" s="188" t="s">
        <v>241</v>
      </c>
      <c r="G226" s="188"/>
      <c r="H226" s="188"/>
      <c r="I226" s="188"/>
      <c r="K226" s="137"/>
      <c r="R226" s="138"/>
      <c r="T226" s="139"/>
      <c r="AA226" s="140"/>
      <c r="AT226" s="137" t="s">
        <v>137</v>
      </c>
      <c r="AU226" s="137" t="s">
        <v>90</v>
      </c>
      <c r="AV226" s="137" t="s">
        <v>17</v>
      </c>
      <c r="AW226" s="137" t="s">
        <v>98</v>
      </c>
      <c r="AX226" s="137" t="s">
        <v>73</v>
      </c>
      <c r="AY226" s="137" t="s">
        <v>130</v>
      </c>
    </row>
    <row r="227" spans="2:51" s="9" customFormat="1" ht="15.75" customHeight="1">
      <c r="B227" s="117"/>
      <c r="E227" s="118"/>
      <c r="F227" s="183" t="s">
        <v>242</v>
      </c>
      <c r="G227" s="183"/>
      <c r="H227" s="183"/>
      <c r="I227" s="183"/>
      <c r="K227" s="119">
        <v>15.4</v>
      </c>
      <c r="R227" s="120"/>
      <c r="T227" s="121"/>
      <c r="AA227" s="122"/>
      <c r="AT227" s="118" t="s">
        <v>137</v>
      </c>
      <c r="AU227" s="118" t="s">
        <v>90</v>
      </c>
      <c r="AV227" s="118" t="s">
        <v>90</v>
      </c>
      <c r="AW227" s="118" t="s">
        <v>98</v>
      </c>
      <c r="AX227" s="118" t="s">
        <v>73</v>
      </c>
      <c r="AY227" s="118" t="s">
        <v>130</v>
      </c>
    </row>
    <row r="228" spans="2:63" s="100" customFormat="1" ht="30.75" customHeight="1">
      <c r="B228" s="101"/>
      <c r="D228" s="109" t="s">
        <v>104</v>
      </c>
      <c r="N228" s="180">
        <f>SUM(N229:N233)</f>
        <v>0</v>
      </c>
      <c r="O228" s="180"/>
      <c r="P228" s="180"/>
      <c r="Q228" s="180"/>
      <c r="R228" s="103"/>
      <c r="T228" s="104"/>
      <c r="W228" s="105">
        <f>SUM($W$229:$W$233)</f>
        <v>219.283974</v>
      </c>
      <c r="Y228" s="105">
        <f>SUM($Y$229:$Y$233)</f>
        <v>0</v>
      </c>
      <c r="AA228" s="106">
        <f>SUM($AA$229:$AA$233)</f>
        <v>0</v>
      </c>
      <c r="AR228" s="107" t="s">
        <v>17</v>
      </c>
      <c r="AT228" s="107" t="s">
        <v>72</v>
      </c>
      <c r="AU228" s="107" t="s">
        <v>17</v>
      </c>
      <c r="AY228" s="107" t="s">
        <v>130</v>
      </c>
      <c r="BK228" s="108">
        <f>SUM($BK$229:$BK$233)</f>
        <v>0</v>
      </c>
    </row>
    <row r="229" spans="2:64" s="9" customFormat="1" ht="39" customHeight="1">
      <c r="B229" s="21"/>
      <c r="C229" s="110" t="s">
        <v>243</v>
      </c>
      <c r="D229" s="110" t="s">
        <v>131</v>
      </c>
      <c r="E229" s="111" t="s">
        <v>244</v>
      </c>
      <c r="F229" s="181" t="s">
        <v>245</v>
      </c>
      <c r="G229" s="181"/>
      <c r="H229" s="181"/>
      <c r="I229" s="181"/>
      <c r="J229" s="112" t="s">
        <v>246</v>
      </c>
      <c r="K229" s="113">
        <v>67.274</v>
      </c>
      <c r="L229" s="182"/>
      <c r="M229" s="182"/>
      <c r="N229" s="182">
        <f>ROUND($L$229*$K$229,2)</f>
        <v>0</v>
      </c>
      <c r="O229" s="182"/>
      <c r="P229" s="182"/>
      <c r="Q229" s="182"/>
      <c r="R229" s="22"/>
      <c r="T229" s="114"/>
      <c r="U229" s="27" t="s">
        <v>38</v>
      </c>
      <c r="V229" s="115">
        <v>2.67</v>
      </c>
      <c r="W229" s="115">
        <f>$V$229*$K$229</f>
        <v>179.62158</v>
      </c>
      <c r="X229" s="115">
        <v>0</v>
      </c>
      <c r="Y229" s="115">
        <f>$X$229*$K$229</f>
        <v>0</v>
      </c>
      <c r="Z229" s="115">
        <v>0</v>
      </c>
      <c r="AA229" s="116">
        <f>$Z$229*$K$229</f>
        <v>0</v>
      </c>
      <c r="AR229" s="9" t="s">
        <v>135</v>
      </c>
      <c r="AT229" s="9" t="s">
        <v>131</v>
      </c>
      <c r="AU229" s="9" t="s">
        <v>90</v>
      </c>
      <c r="AY229" s="9" t="s">
        <v>130</v>
      </c>
      <c r="BE229" s="91">
        <f>IF($U$229="základní",$N$229,0)</f>
        <v>0</v>
      </c>
      <c r="BF229" s="91">
        <f>IF($U$229="snížená",$N$229,0)</f>
        <v>0</v>
      </c>
      <c r="BG229" s="91">
        <f>IF($U$229="zákl. přenesená",$N$229,0)</f>
        <v>0</v>
      </c>
      <c r="BH229" s="91">
        <f>IF($U$229="sníž. přenesená",$N$229,0)</f>
        <v>0</v>
      </c>
      <c r="BI229" s="91">
        <f>IF($U$229="nulová",$N$229,0)</f>
        <v>0</v>
      </c>
      <c r="BJ229" s="9" t="s">
        <v>17</v>
      </c>
      <c r="BK229" s="91">
        <f>ROUND($L$229*$K$229,2)</f>
        <v>0</v>
      </c>
      <c r="BL229" s="9" t="s">
        <v>135</v>
      </c>
    </row>
    <row r="230" spans="2:64" s="9" customFormat="1" ht="27" customHeight="1">
      <c r="B230" s="21"/>
      <c r="C230" s="110" t="s">
        <v>247</v>
      </c>
      <c r="D230" s="110" t="s">
        <v>131</v>
      </c>
      <c r="E230" s="111" t="s">
        <v>248</v>
      </c>
      <c r="F230" s="181" t="s">
        <v>249</v>
      </c>
      <c r="G230" s="181"/>
      <c r="H230" s="181"/>
      <c r="I230" s="181"/>
      <c r="J230" s="112" t="s">
        <v>246</v>
      </c>
      <c r="K230" s="113">
        <v>67.274</v>
      </c>
      <c r="L230" s="182"/>
      <c r="M230" s="182"/>
      <c r="N230" s="182">
        <f>ROUND($L$230*$K$230,2)</f>
        <v>0</v>
      </c>
      <c r="O230" s="182"/>
      <c r="P230" s="182"/>
      <c r="Q230" s="182"/>
      <c r="R230" s="22"/>
      <c r="T230" s="114"/>
      <c r="U230" s="27" t="s">
        <v>38</v>
      </c>
      <c r="V230" s="115">
        <v>0.125</v>
      </c>
      <c r="W230" s="115">
        <f>$V$230*$K$230</f>
        <v>8.40925</v>
      </c>
      <c r="X230" s="115">
        <v>0</v>
      </c>
      <c r="Y230" s="115">
        <f>$X$230*$K$230</f>
        <v>0</v>
      </c>
      <c r="Z230" s="115">
        <v>0</v>
      </c>
      <c r="AA230" s="116">
        <f>$Z$230*$K$230</f>
        <v>0</v>
      </c>
      <c r="AR230" s="9" t="s">
        <v>135</v>
      </c>
      <c r="AT230" s="9" t="s">
        <v>131</v>
      </c>
      <c r="AU230" s="9" t="s">
        <v>90</v>
      </c>
      <c r="AY230" s="9" t="s">
        <v>130</v>
      </c>
      <c r="BE230" s="91">
        <f>IF($U$230="základní",$N$230,0)</f>
        <v>0</v>
      </c>
      <c r="BF230" s="91">
        <f>IF($U$230="snížená",$N$230,0)</f>
        <v>0</v>
      </c>
      <c r="BG230" s="91">
        <f>IF($U$230="zákl. přenesená",$N$230,0)</f>
        <v>0</v>
      </c>
      <c r="BH230" s="91">
        <f>IF($U$230="sníž. přenesená",$N$230,0)</f>
        <v>0</v>
      </c>
      <c r="BI230" s="91">
        <f>IF($U$230="nulová",$N$230,0)</f>
        <v>0</v>
      </c>
      <c r="BJ230" s="9" t="s">
        <v>17</v>
      </c>
      <c r="BK230" s="91">
        <f>ROUND($L$230*$K$230,2)</f>
        <v>0</v>
      </c>
      <c r="BL230" s="9" t="s">
        <v>135</v>
      </c>
    </row>
    <row r="231" spans="2:64" s="9" customFormat="1" ht="27" customHeight="1">
      <c r="B231" s="21"/>
      <c r="C231" s="110" t="s">
        <v>250</v>
      </c>
      <c r="D231" s="110" t="s">
        <v>131</v>
      </c>
      <c r="E231" s="111" t="s">
        <v>251</v>
      </c>
      <c r="F231" s="181" t="s">
        <v>252</v>
      </c>
      <c r="G231" s="181"/>
      <c r="H231" s="181"/>
      <c r="I231" s="181"/>
      <c r="J231" s="112" t="s">
        <v>246</v>
      </c>
      <c r="K231" s="113">
        <f>K229*5</f>
        <v>336.37</v>
      </c>
      <c r="L231" s="182"/>
      <c r="M231" s="182"/>
      <c r="N231" s="182">
        <f>ROUND($L$231*$K$231,2)</f>
        <v>0</v>
      </c>
      <c r="O231" s="182"/>
      <c r="P231" s="182"/>
      <c r="Q231" s="182"/>
      <c r="R231" s="22"/>
      <c r="T231" s="114"/>
      <c r="U231" s="27" t="s">
        <v>38</v>
      </c>
      <c r="V231" s="115">
        <v>0.006</v>
      </c>
      <c r="W231" s="115">
        <f>$V$231*$K$231</f>
        <v>2.01822</v>
      </c>
      <c r="X231" s="115">
        <v>0</v>
      </c>
      <c r="Y231" s="115">
        <f>$X$231*$K$231</f>
        <v>0</v>
      </c>
      <c r="Z231" s="115">
        <v>0</v>
      </c>
      <c r="AA231" s="116">
        <f>$Z$231*$K$231</f>
        <v>0</v>
      </c>
      <c r="AR231" s="9" t="s">
        <v>135</v>
      </c>
      <c r="AT231" s="9" t="s">
        <v>131</v>
      </c>
      <c r="AU231" s="9" t="s">
        <v>90</v>
      </c>
      <c r="AY231" s="9" t="s">
        <v>130</v>
      </c>
      <c r="BE231" s="91">
        <f>IF($U$231="základní",$N$231,0)</f>
        <v>0</v>
      </c>
      <c r="BF231" s="91">
        <f>IF($U$231="snížená",$N$231,0)</f>
        <v>0</v>
      </c>
      <c r="BG231" s="91">
        <f>IF($U$231="zákl. přenesená",$N$231,0)</f>
        <v>0</v>
      </c>
      <c r="BH231" s="91">
        <f>IF($U$231="sníž. přenesená",$N$231,0)</f>
        <v>0</v>
      </c>
      <c r="BI231" s="91">
        <f>IF($U$231="nulová",$N$231,0)</f>
        <v>0</v>
      </c>
      <c r="BJ231" s="9" t="s">
        <v>17</v>
      </c>
      <c r="BK231" s="91">
        <f>ROUND($L$231*$K$231,2)</f>
        <v>0</v>
      </c>
      <c r="BL231" s="9" t="s">
        <v>135</v>
      </c>
    </row>
    <row r="232" spans="2:64" s="9" customFormat="1" ht="27" customHeight="1">
      <c r="B232" s="21"/>
      <c r="C232" s="110" t="s">
        <v>253</v>
      </c>
      <c r="D232" s="110" t="s">
        <v>131</v>
      </c>
      <c r="E232" s="111" t="s">
        <v>254</v>
      </c>
      <c r="F232" s="181" t="s">
        <v>255</v>
      </c>
      <c r="G232" s="181"/>
      <c r="H232" s="181"/>
      <c r="I232" s="181"/>
      <c r="J232" s="112" t="s">
        <v>246</v>
      </c>
      <c r="K232" s="113">
        <v>67.274</v>
      </c>
      <c r="L232" s="182"/>
      <c r="M232" s="182"/>
      <c r="N232" s="182">
        <f>ROUND($L$232*$K$232,2)</f>
        <v>0</v>
      </c>
      <c r="O232" s="182"/>
      <c r="P232" s="182"/>
      <c r="Q232" s="182"/>
      <c r="R232" s="22"/>
      <c r="T232" s="114"/>
      <c r="U232" s="27" t="s">
        <v>38</v>
      </c>
      <c r="V232" s="115">
        <v>0</v>
      </c>
      <c r="W232" s="115">
        <f>$V$232*$K$232</f>
        <v>0</v>
      </c>
      <c r="X232" s="115">
        <v>0</v>
      </c>
      <c r="Y232" s="115">
        <f>$X$232*$K$232</f>
        <v>0</v>
      </c>
      <c r="Z232" s="115">
        <v>0</v>
      </c>
      <c r="AA232" s="116">
        <f>$Z$232*$K$232</f>
        <v>0</v>
      </c>
      <c r="AR232" s="9" t="s">
        <v>135</v>
      </c>
      <c r="AT232" s="9" t="s">
        <v>131</v>
      </c>
      <c r="AU232" s="9" t="s">
        <v>90</v>
      </c>
      <c r="AY232" s="9" t="s">
        <v>130</v>
      </c>
      <c r="BE232" s="91">
        <f>IF($U$232="základní",$N$232,0)</f>
        <v>0</v>
      </c>
      <c r="BF232" s="91">
        <f>IF($U$232="snížená",$N$232,0)</f>
        <v>0</v>
      </c>
      <c r="BG232" s="91">
        <f>IF($U$232="zákl. přenesená",$N$232,0)</f>
        <v>0</v>
      </c>
      <c r="BH232" s="91">
        <f>IF($U$232="sníž. přenesená",$N$232,0)</f>
        <v>0</v>
      </c>
      <c r="BI232" s="91">
        <f>IF($U$232="nulová",$N$232,0)</f>
        <v>0</v>
      </c>
      <c r="BJ232" s="9" t="s">
        <v>17</v>
      </c>
      <c r="BK232" s="91">
        <f>ROUND($L$232*$K$232,2)</f>
        <v>0</v>
      </c>
      <c r="BL232" s="9" t="s">
        <v>135</v>
      </c>
    </row>
    <row r="233" spans="2:64" s="9" customFormat="1" ht="27" customHeight="1">
      <c r="B233" s="21"/>
      <c r="C233" s="110" t="s">
        <v>256</v>
      </c>
      <c r="D233" s="110" t="s">
        <v>131</v>
      </c>
      <c r="E233" s="111" t="s">
        <v>257</v>
      </c>
      <c r="F233" s="181" t="s">
        <v>258</v>
      </c>
      <c r="G233" s="181"/>
      <c r="H233" s="181"/>
      <c r="I233" s="181"/>
      <c r="J233" s="112" t="s">
        <v>246</v>
      </c>
      <c r="K233" s="113">
        <v>88.057</v>
      </c>
      <c r="L233" s="182"/>
      <c r="M233" s="182"/>
      <c r="N233" s="182">
        <f>ROUND($L$233*$K$233,2)</f>
        <v>0</v>
      </c>
      <c r="O233" s="182"/>
      <c r="P233" s="182"/>
      <c r="Q233" s="182"/>
      <c r="R233" s="22"/>
      <c r="T233" s="114"/>
      <c r="U233" s="27" t="s">
        <v>38</v>
      </c>
      <c r="V233" s="115">
        <v>0.332</v>
      </c>
      <c r="W233" s="115">
        <f>$V$233*$K$233</f>
        <v>29.234924000000003</v>
      </c>
      <c r="X233" s="115">
        <v>0</v>
      </c>
      <c r="Y233" s="115">
        <f>$X$233*$K$233</f>
        <v>0</v>
      </c>
      <c r="Z233" s="115">
        <v>0</v>
      </c>
      <c r="AA233" s="116">
        <f>$Z$233*$K$233</f>
        <v>0</v>
      </c>
      <c r="AR233" s="9" t="s">
        <v>135</v>
      </c>
      <c r="AT233" s="9" t="s">
        <v>131</v>
      </c>
      <c r="AU233" s="9" t="s">
        <v>90</v>
      </c>
      <c r="AY233" s="9" t="s">
        <v>130</v>
      </c>
      <c r="BE233" s="91">
        <f>IF($U$233="základní",$N$233,0)</f>
        <v>0</v>
      </c>
      <c r="BF233" s="91">
        <f>IF($U$233="snížená",$N$233,0)</f>
        <v>0</v>
      </c>
      <c r="BG233" s="91">
        <f>IF($U$233="zákl. přenesená",$N$233,0)</f>
        <v>0</v>
      </c>
      <c r="BH233" s="91">
        <f>IF($U$233="sníž. přenesená",$N$233,0)</f>
        <v>0</v>
      </c>
      <c r="BI233" s="91">
        <f>IF($U$233="nulová",$N$233,0)</f>
        <v>0</v>
      </c>
      <c r="BJ233" s="9" t="s">
        <v>17</v>
      </c>
      <c r="BK233" s="91">
        <f>ROUND($L$233*$K$233,2)</f>
        <v>0</v>
      </c>
      <c r="BL233" s="9" t="s">
        <v>135</v>
      </c>
    </row>
    <row r="234" spans="2:63" s="100" customFormat="1" ht="37.5" customHeight="1">
      <c r="B234" s="101"/>
      <c r="D234" s="102" t="s">
        <v>105</v>
      </c>
      <c r="N234" s="179">
        <f>N235+N237+N239+N242+N277+N289+N297</f>
        <v>0</v>
      </c>
      <c r="O234" s="179"/>
      <c r="P234" s="179"/>
      <c r="Q234" s="179"/>
      <c r="R234" s="103"/>
      <c r="T234" s="104"/>
      <c r="W234" s="105" t="e">
        <f>$W$235+$W$237+#REF!+$W$239+$W$242+$W$277+$W$289+$W$297</f>
        <v>#REF!</v>
      </c>
      <c r="Y234" s="105" t="e">
        <f>$Y$235+$Y$237+#REF!+$Y$239+$Y$242+$Y$277+$Y$289+$Y$297</f>
        <v>#REF!</v>
      </c>
      <c r="AA234" s="106" t="e">
        <f>$AA$235+$AA$237+#REF!+$AA$239+$AA$242+$AA$277+$AA$289+$AA$297</f>
        <v>#REF!</v>
      </c>
      <c r="AR234" s="107" t="s">
        <v>90</v>
      </c>
      <c r="AT234" s="107" t="s">
        <v>72</v>
      </c>
      <c r="AU234" s="107" t="s">
        <v>73</v>
      </c>
      <c r="AY234" s="107" t="s">
        <v>130</v>
      </c>
      <c r="BK234" s="108" t="e">
        <f>$BK$235+$BK$237+#REF!+$BK$239+$BK$242+$BK$277+$BK$289+$BK$297</f>
        <v>#REF!</v>
      </c>
    </row>
    <row r="235" spans="2:63" s="100" customFormat="1" ht="21" customHeight="1">
      <c r="B235" s="101"/>
      <c r="D235" s="109" t="s">
        <v>106</v>
      </c>
      <c r="N235" s="180">
        <f>$BK$235</f>
        <v>0</v>
      </c>
      <c r="O235" s="180"/>
      <c r="P235" s="180"/>
      <c r="Q235" s="180"/>
      <c r="R235" s="103"/>
      <c r="T235" s="104"/>
      <c r="W235" s="105">
        <f>$W$236</f>
        <v>3.72</v>
      </c>
      <c r="Y235" s="105">
        <f>$Y$236</f>
        <v>0</v>
      </c>
      <c r="AA235" s="106">
        <f>$AA$236</f>
        <v>0</v>
      </c>
      <c r="AR235" s="107" t="s">
        <v>90</v>
      </c>
      <c r="AT235" s="107" t="s">
        <v>72</v>
      </c>
      <c r="AU235" s="107" t="s">
        <v>17</v>
      </c>
      <c r="AY235" s="107" t="s">
        <v>130</v>
      </c>
      <c r="BK235" s="108">
        <f>$BK$236</f>
        <v>0</v>
      </c>
    </row>
    <row r="236" spans="2:64" s="9" customFormat="1" ht="27" customHeight="1">
      <c r="B236" s="21"/>
      <c r="C236" s="110" t="s">
        <v>259</v>
      </c>
      <c r="D236" s="110" t="s">
        <v>131</v>
      </c>
      <c r="E236" s="111" t="s">
        <v>260</v>
      </c>
      <c r="F236" s="181" t="s">
        <v>261</v>
      </c>
      <c r="G236" s="181"/>
      <c r="H236" s="181"/>
      <c r="I236" s="181"/>
      <c r="J236" s="112" t="s">
        <v>262</v>
      </c>
      <c r="K236" s="113">
        <v>2</v>
      </c>
      <c r="L236" s="182"/>
      <c r="M236" s="182"/>
      <c r="N236" s="182">
        <f>ROUND($L$236*$K$236,2)</f>
        <v>0</v>
      </c>
      <c r="O236" s="182"/>
      <c r="P236" s="182"/>
      <c r="Q236" s="182"/>
      <c r="R236" s="22"/>
      <c r="T236" s="114"/>
      <c r="U236" s="27" t="s">
        <v>38</v>
      </c>
      <c r="V236" s="115">
        <v>1.86</v>
      </c>
      <c r="W236" s="115">
        <f>$V$236*$K$236</f>
        <v>3.72</v>
      </c>
      <c r="X236" s="115">
        <v>0</v>
      </c>
      <c r="Y236" s="115">
        <f>$X$236*$K$236</f>
        <v>0</v>
      </c>
      <c r="Z236" s="115">
        <v>0</v>
      </c>
      <c r="AA236" s="116">
        <f>$Z$236*$K$236</f>
        <v>0</v>
      </c>
      <c r="AR236" s="9" t="s">
        <v>207</v>
      </c>
      <c r="AT236" s="9" t="s">
        <v>131</v>
      </c>
      <c r="AU236" s="9" t="s">
        <v>90</v>
      </c>
      <c r="AY236" s="9" t="s">
        <v>130</v>
      </c>
      <c r="BE236" s="91">
        <f>IF($U$236="základní",$N$236,0)</f>
        <v>0</v>
      </c>
      <c r="BF236" s="91">
        <f>IF($U$236="snížená",$N$236,0)</f>
        <v>0</v>
      </c>
      <c r="BG236" s="91">
        <f>IF($U$236="zákl. přenesená",$N$236,0)</f>
        <v>0</v>
      </c>
      <c r="BH236" s="91">
        <f>IF($U$236="sníž. přenesená",$N$236,0)</f>
        <v>0</v>
      </c>
      <c r="BI236" s="91">
        <f>IF($U$236="nulová",$N$236,0)</f>
        <v>0</v>
      </c>
      <c r="BJ236" s="9" t="s">
        <v>17</v>
      </c>
      <c r="BK236" s="91">
        <f>ROUND($L$236*$K$236,2)</f>
        <v>0</v>
      </c>
      <c r="BL236" s="9" t="s">
        <v>207</v>
      </c>
    </row>
    <row r="237" spans="2:63" s="100" customFormat="1" ht="30.75" customHeight="1">
      <c r="B237" s="101"/>
      <c r="D237" s="109" t="s">
        <v>107</v>
      </c>
      <c r="N237" s="180">
        <f>$BK$237</f>
        <v>0</v>
      </c>
      <c r="O237" s="180"/>
      <c r="P237" s="180"/>
      <c r="Q237" s="180"/>
      <c r="R237" s="103"/>
      <c r="T237" s="104"/>
      <c r="W237" s="105">
        <f>$W$238</f>
        <v>24.474</v>
      </c>
      <c r="Y237" s="105">
        <f>$Y$238</f>
        <v>0</v>
      </c>
      <c r="AA237" s="106">
        <f>$AA$238</f>
        <v>0</v>
      </c>
      <c r="AR237" s="107" t="s">
        <v>90</v>
      </c>
      <c r="AT237" s="107" t="s">
        <v>72</v>
      </c>
      <c r="AU237" s="107" t="s">
        <v>17</v>
      </c>
      <c r="AY237" s="107" t="s">
        <v>130</v>
      </c>
      <c r="BK237" s="108">
        <f>$BK$238</f>
        <v>0</v>
      </c>
    </row>
    <row r="238" spans="2:64" s="9" customFormat="1" ht="27" customHeight="1">
      <c r="B238" s="21"/>
      <c r="C238" s="110" t="s">
        <v>263</v>
      </c>
      <c r="D238" s="110" t="s">
        <v>131</v>
      </c>
      <c r="E238" s="111" t="s">
        <v>264</v>
      </c>
      <c r="F238" s="181" t="s">
        <v>265</v>
      </c>
      <c r="G238" s="181"/>
      <c r="H238" s="181"/>
      <c r="I238" s="181"/>
      <c r="J238" s="112" t="s">
        <v>262</v>
      </c>
      <c r="K238" s="113">
        <v>2</v>
      </c>
      <c r="L238" s="182"/>
      <c r="M238" s="182"/>
      <c r="N238" s="182">
        <f>ROUND($L$238*$K$238,2)</f>
        <v>0</v>
      </c>
      <c r="O238" s="182"/>
      <c r="P238" s="182"/>
      <c r="Q238" s="182"/>
      <c r="R238" s="22"/>
      <c r="T238" s="114"/>
      <c r="U238" s="27" t="s">
        <v>38</v>
      </c>
      <c r="V238" s="115">
        <v>12.237</v>
      </c>
      <c r="W238" s="115">
        <f>$V$238*$K$238</f>
        <v>24.474</v>
      </c>
      <c r="X238" s="115">
        <v>0</v>
      </c>
      <c r="Y238" s="115">
        <f>$X$238*$K$238</f>
        <v>0</v>
      </c>
      <c r="Z238" s="115">
        <v>0</v>
      </c>
      <c r="AA238" s="116">
        <f>$Z$238*$K$238</f>
        <v>0</v>
      </c>
      <c r="AR238" s="9" t="s">
        <v>207</v>
      </c>
      <c r="AT238" s="9" t="s">
        <v>131</v>
      </c>
      <c r="AU238" s="9" t="s">
        <v>90</v>
      </c>
      <c r="AY238" s="9" t="s">
        <v>130</v>
      </c>
      <c r="BE238" s="91">
        <f>IF($U$238="základní",$N$238,0)</f>
        <v>0</v>
      </c>
      <c r="BF238" s="91">
        <f>IF($U$238="snížená",$N$238,0)</f>
        <v>0</v>
      </c>
      <c r="BG238" s="91">
        <f>IF($U$238="zákl. přenesená",$N$238,0)</f>
        <v>0</v>
      </c>
      <c r="BH238" s="91">
        <f>IF($U$238="sníž. přenesená",$N$238,0)</f>
        <v>0</v>
      </c>
      <c r="BI238" s="91">
        <f>IF($U$238="nulová",$N$238,0)</f>
        <v>0</v>
      </c>
      <c r="BJ238" s="9" t="s">
        <v>17</v>
      </c>
      <c r="BK238" s="91">
        <f>ROUND($L$238*$K$238,2)</f>
        <v>0</v>
      </c>
      <c r="BL238" s="9" t="s">
        <v>207</v>
      </c>
    </row>
    <row r="239" spans="2:63" s="100" customFormat="1" ht="30.75" customHeight="1">
      <c r="B239" s="101"/>
      <c r="D239" s="109" t="s">
        <v>108</v>
      </c>
      <c r="N239" s="180">
        <f>$BK$239</f>
        <v>0</v>
      </c>
      <c r="O239" s="180"/>
      <c r="P239" s="180"/>
      <c r="Q239" s="180"/>
      <c r="R239" s="103"/>
      <c r="T239" s="104"/>
      <c r="W239" s="105">
        <f>SUM($W$240:$W$241)</f>
        <v>1.434</v>
      </c>
      <c r="Y239" s="105">
        <f>SUM($Y$240:$Y$241)</f>
        <v>0.0056</v>
      </c>
      <c r="AA239" s="106">
        <f>SUM($AA$240:$AA$241)</f>
        <v>0</v>
      </c>
      <c r="AR239" s="107" t="s">
        <v>90</v>
      </c>
      <c r="AT239" s="107" t="s">
        <v>72</v>
      </c>
      <c r="AU239" s="107" t="s">
        <v>17</v>
      </c>
      <c r="AY239" s="107" t="s">
        <v>130</v>
      </c>
      <c r="BK239" s="108">
        <f>SUM($BK$240:$BK$241)</f>
        <v>0</v>
      </c>
    </row>
    <row r="240" spans="2:64" s="9" customFormat="1" ht="15.75" customHeight="1">
      <c r="B240" s="21"/>
      <c r="C240" s="110" t="s">
        <v>266</v>
      </c>
      <c r="D240" s="110" t="s">
        <v>131</v>
      </c>
      <c r="E240" s="111" t="s">
        <v>267</v>
      </c>
      <c r="F240" s="181" t="s">
        <v>268</v>
      </c>
      <c r="G240" s="181"/>
      <c r="H240" s="181"/>
      <c r="I240" s="181"/>
      <c r="J240" s="112" t="s">
        <v>151</v>
      </c>
      <c r="K240" s="113">
        <v>1</v>
      </c>
      <c r="L240" s="182"/>
      <c r="M240" s="182"/>
      <c r="N240" s="182">
        <f>ROUND($L$240*$K$240,2)</f>
        <v>0</v>
      </c>
      <c r="O240" s="182"/>
      <c r="P240" s="182"/>
      <c r="Q240" s="182"/>
      <c r="R240" s="22"/>
      <c r="T240" s="114"/>
      <c r="U240" s="27" t="s">
        <v>38</v>
      </c>
      <c r="V240" s="115">
        <v>1.434</v>
      </c>
      <c r="W240" s="115">
        <f>$V$240*$K$240</f>
        <v>1.434</v>
      </c>
      <c r="X240" s="115">
        <v>0</v>
      </c>
      <c r="Y240" s="115">
        <f>$X$240*$K$240</f>
        <v>0</v>
      </c>
      <c r="Z240" s="115">
        <v>0</v>
      </c>
      <c r="AA240" s="116">
        <f>$Z$240*$K$240</f>
        <v>0</v>
      </c>
      <c r="AR240" s="9" t="s">
        <v>207</v>
      </c>
      <c r="AT240" s="9" t="s">
        <v>131</v>
      </c>
      <c r="AU240" s="9" t="s">
        <v>90</v>
      </c>
      <c r="AY240" s="9" t="s">
        <v>130</v>
      </c>
      <c r="BE240" s="91">
        <f>IF($U$240="základní",$N$240,0)</f>
        <v>0</v>
      </c>
      <c r="BF240" s="91">
        <f>IF($U$240="snížená",$N$240,0)</f>
        <v>0</v>
      </c>
      <c r="BG240" s="91">
        <f>IF($U$240="zákl. přenesená",$N$240,0)</f>
        <v>0</v>
      </c>
      <c r="BH240" s="91">
        <f>IF($U$240="sníž. přenesená",$N$240,0)</f>
        <v>0</v>
      </c>
      <c r="BI240" s="91">
        <f>IF($U$240="nulová",$N$240,0)</f>
        <v>0</v>
      </c>
      <c r="BJ240" s="9" t="s">
        <v>17</v>
      </c>
      <c r="BK240" s="91">
        <f>ROUND($L$240*$K$240,2)</f>
        <v>0</v>
      </c>
      <c r="BL240" s="9" t="s">
        <v>207</v>
      </c>
    </row>
    <row r="241" spans="2:64" s="9" customFormat="1" ht="27" customHeight="1">
      <c r="B241" s="21"/>
      <c r="C241" s="141" t="s">
        <v>269</v>
      </c>
      <c r="D241" s="141" t="s">
        <v>270</v>
      </c>
      <c r="E241" s="142" t="s">
        <v>271</v>
      </c>
      <c r="F241" s="189" t="s">
        <v>272</v>
      </c>
      <c r="G241" s="189"/>
      <c r="H241" s="189"/>
      <c r="I241" s="189"/>
      <c r="J241" s="143" t="s">
        <v>151</v>
      </c>
      <c r="K241" s="144">
        <v>1</v>
      </c>
      <c r="L241" s="190"/>
      <c r="M241" s="190"/>
      <c r="N241" s="190">
        <f>ROUND($L$241*$K$241,2)</f>
        <v>0</v>
      </c>
      <c r="O241" s="190"/>
      <c r="P241" s="190"/>
      <c r="Q241" s="190"/>
      <c r="R241" s="22"/>
      <c r="T241" s="114"/>
      <c r="U241" s="27" t="s">
        <v>38</v>
      </c>
      <c r="V241" s="115">
        <v>0</v>
      </c>
      <c r="W241" s="115">
        <f>$V$241*$K$241</f>
        <v>0</v>
      </c>
      <c r="X241" s="115">
        <v>0.0056</v>
      </c>
      <c r="Y241" s="115">
        <f>$X$241*$K$241</f>
        <v>0.0056</v>
      </c>
      <c r="Z241" s="115">
        <v>0</v>
      </c>
      <c r="AA241" s="116">
        <f>$Z$241*$K$241</f>
        <v>0</v>
      </c>
      <c r="AR241" s="9" t="s">
        <v>266</v>
      </c>
      <c r="AT241" s="9" t="s">
        <v>270</v>
      </c>
      <c r="AU241" s="9" t="s">
        <v>90</v>
      </c>
      <c r="AY241" s="9" t="s">
        <v>130</v>
      </c>
      <c r="BE241" s="91">
        <f>IF($U$241="základní",$N$241,0)</f>
        <v>0</v>
      </c>
      <c r="BF241" s="91">
        <f>IF($U$241="snížená",$N$241,0)</f>
        <v>0</v>
      </c>
      <c r="BG241" s="91">
        <f>IF($U$241="zákl. přenesená",$N$241,0)</f>
        <v>0</v>
      </c>
      <c r="BH241" s="91">
        <f>IF($U$241="sníž. přenesená",$N$241,0)</f>
        <v>0</v>
      </c>
      <c r="BI241" s="91">
        <f>IF($U$241="nulová",$N$241,0)</f>
        <v>0</v>
      </c>
      <c r="BJ241" s="9" t="s">
        <v>17</v>
      </c>
      <c r="BK241" s="91">
        <f>ROUND($L$241*$K$241,2)</f>
        <v>0</v>
      </c>
      <c r="BL241" s="9" t="s">
        <v>207</v>
      </c>
    </row>
    <row r="242" spans="2:63" s="100" customFormat="1" ht="30.75" customHeight="1">
      <c r="B242" s="101"/>
      <c r="D242" s="109" t="s">
        <v>109</v>
      </c>
      <c r="N242" s="180">
        <f>SUM(N243:N276)</f>
        <v>0</v>
      </c>
      <c r="O242" s="180"/>
      <c r="P242" s="180"/>
      <c r="Q242" s="180"/>
      <c r="R242" s="103"/>
      <c r="T242" s="104"/>
      <c r="W242" s="105">
        <f>SUM($W$243:$W$276)</f>
        <v>115.84266600000001</v>
      </c>
      <c r="Y242" s="105">
        <f>SUM($Y$243:$Y$276)</f>
        <v>0.750516</v>
      </c>
      <c r="AA242" s="106">
        <f>SUM($AA$243:$AA$276)</f>
        <v>0.7406136000000001</v>
      </c>
      <c r="AR242" s="107" t="s">
        <v>90</v>
      </c>
      <c r="AT242" s="107" t="s">
        <v>72</v>
      </c>
      <c r="AU242" s="107" t="s">
        <v>17</v>
      </c>
      <c r="AY242" s="107" t="s">
        <v>130</v>
      </c>
      <c r="BK242" s="108">
        <f>SUM($BK$243:$BK$276)</f>
        <v>0</v>
      </c>
    </row>
    <row r="243" spans="2:64" s="9" customFormat="1" ht="27" customHeight="1">
      <c r="B243" s="21"/>
      <c r="C243" s="110" t="s">
        <v>273</v>
      </c>
      <c r="D243" s="110" t="s">
        <v>131</v>
      </c>
      <c r="E243" s="111" t="s">
        <v>274</v>
      </c>
      <c r="F243" s="181" t="s">
        <v>275</v>
      </c>
      <c r="G243" s="181"/>
      <c r="H243" s="181"/>
      <c r="I243" s="181"/>
      <c r="J243" s="112" t="s">
        <v>134</v>
      </c>
      <c r="K243" s="113">
        <v>4.05</v>
      </c>
      <c r="L243" s="182"/>
      <c r="M243" s="182"/>
      <c r="N243" s="182">
        <f>ROUND($L$243*$K$243,2)</f>
        <v>0</v>
      </c>
      <c r="O243" s="182"/>
      <c r="P243" s="182"/>
      <c r="Q243" s="182"/>
      <c r="R243" s="22"/>
      <c r="T243" s="114"/>
      <c r="U243" s="27" t="s">
        <v>38</v>
      </c>
      <c r="V243" s="115">
        <v>0.275</v>
      </c>
      <c r="W243" s="115">
        <f>$V$243*$K$243</f>
        <v>1.11375</v>
      </c>
      <c r="X243" s="115">
        <v>0.00144</v>
      </c>
      <c r="Y243" s="115">
        <f>$X$243*$K$243</f>
        <v>0.005832</v>
      </c>
      <c r="Z243" s="115">
        <v>0</v>
      </c>
      <c r="AA243" s="116">
        <f>$Z$243*$K$243</f>
        <v>0</v>
      </c>
      <c r="AR243" s="9" t="s">
        <v>207</v>
      </c>
      <c r="AT243" s="9" t="s">
        <v>131</v>
      </c>
      <c r="AU243" s="9" t="s">
        <v>90</v>
      </c>
      <c r="AY243" s="9" t="s">
        <v>130</v>
      </c>
      <c r="BE243" s="91">
        <f>IF($U$243="základní",$N$243,0)</f>
        <v>0</v>
      </c>
      <c r="BF243" s="91">
        <f>IF($U$243="snížená",$N$243,0)</f>
        <v>0</v>
      </c>
      <c r="BG243" s="91">
        <f>IF($U$243="zákl. přenesená",$N$243,0)</f>
        <v>0</v>
      </c>
      <c r="BH243" s="91">
        <f>IF($U$243="sníž. přenesená",$N$243,0)</f>
        <v>0</v>
      </c>
      <c r="BI243" s="91">
        <f>IF($U$243="nulová",$N$243,0)</f>
        <v>0</v>
      </c>
      <c r="BJ243" s="9" t="s">
        <v>17</v>
      </c>
      <c r="BK243" s="91">
        <f>ROUND($L$243*$K$243,2)</f>
        <v>0</v>
      </c>
      <c r="BL243" s="9" t="s">
        <v>207</v>
      </c>
    </row>
    <row r="244" spans="2:51" s="9" customFormat="1" ht="15.75" customHeight="1">
      <c r="B244" s="117"/>
      <c r="E244" s="118"/>
      <c r="F244" s="183" t="s">
        <v>276</v>
      </c>
      <c r="G244" s="183"/>
      <c r="H244" s="183"/>
      <c r="I244" s="183"/>
      <c r="K244" s="119">
        <v>4.05</v>
      </c>
      <c r="R244" s="120"/>
      <c r="T244" s="121"/>
      <c r="AA244" s="122"/>
      <c r="AT244" s="118" t="s">
        <v>137</v>
      </c>
      <c r="AU244" s="118" t="s">
        <v>90</v>
      </c>
      <c r="AV244" s="118" t="s">
        <v>90</v>
      </c>
      <c r="AW244" s="118" t="s">
        <v>98</v>
      </c>
      <c r="AX244" s="118" t="s">
        <v>73</v>
      </c>
      <c r="AY244" s="118" t="s">
        <v>130</v>
      </c>
    </row>
    <row r="245" spans="2:51" s="9" customFormat="1" ht="15.75" customHeight="1">
      <c r="B245" s="129"/>
      <c r="E245" s="130"/>
      <c r="F245" s="187" t="s">
        <v>147</v>
      </c>
      <c r="G245" s="187"/>
      <c r="H245" s="187"/>
      <c r="I245" s="187"/>
      <c r="K245" s="132">
        <v>4.05</v>
      </c>
      <c r="R245" s="133"/>
      <c r="T245" s="134"/>
      <c r="AA245" s="135"/>
      <c r="AT245" s="130" t="s">
        <v>137</v>
      </c>
      <c r="AU245" s="130" t="s">
        <v>90</v>
      </c>
      <c r="AV245" s="130" t="s">
        <v>135</v>
      </c>
      <c r="AW245" s="130" t="s">
        <v>98</v>
      </c>
      <c r="AX245" s="130" t="s">
        <v>17</v>
      </c>
      <c r="AY245" s="130" t="s">
        <v>130</v>
      </c>
    </row>
    <row r="246" spans="2:64" s="9" customFormat="1" ht="27" customHeight="1">
      <c r="B246" s="21"/>
      <c r="C246" s="110" t="s">
        <v>277</v>
      </c>
      <c r="D246" s="110" t="s">
        <v>131</v>
      </c>
      <c r="E246" s="111" t="s">
        <v>278</v>
      </c>
      <c r="F246" s="181" t="s">
        <v>279</v>
      </c>
      <c r="G246" s="181"/>
      <c r="H246" s="181"/>
      <c r="I246" s="181"/>
      <c r="J246" s="112" t="s">
        <v>134</v>
      </c>
      <c r="K246" s="113">
        <v>43.47</v>
      </c>
      <c r="L246" s="182"/>
      <c r="M246" s="182"/>
      <c r="N246" s="182">
        <f>ROUND($L$246*$K$246,2)</f>
        <v>0</v>
      </c>
      <c r="O246" s="182"/>
      <c r="P246" s="182"/>
      <c r="Q246" s="182"/>
      <c r="R246" s="22"/>
      <c r="T246" s="114"/>
      <c r="U246" s="27" t="s">
        <v>38</v>
      </c>
      <c r="V246" s="115">
        <v>0.288</v>
      </c>
      <c r="W246" s="115">
        <f>$V$246*$K$246</f>
        <v>12.519359999999999</v>
      </c>
      <c r="X246" s="115">
        <v>0.00189</v>
      </c>
      <c r="Y246" s="115">
        <f>$X$246*$K$246</f>
        <v>0.08215829999999999</v>
      </c>
      <c r="Z246" s="115">
        <v>0</v>
      </c>
      <c r="AA246" s="116">
        <f>$Z$246*$K$246</f>
        <v>0</v>
      </c>
      <c r="AR246" s="9" t="s">
        <v>207</v>
      </c>
      <c r="AT246" s="9" t="s">
        <v>131</v>
      </c>
      <c r="AU246" s="9" t="s">
        <v>90</v>
      </c>
      <c r="AY246" s="9" t="s">
        <v>130</v>
      </c>
      <c r="BE246" s="91">
        <f>IF($U$246="základní",$N$246,0)</f>
        <v>0</v>
      </c>
      <c r="BF246" s="91">
        <f>IF($U$246="snížená",$N$246,0)</f>
        <v>0</v>
      </c>
      <c r="BG246" s="91">
        <f>IF($U$246="zákl. přenesená",$N$246,0)</f>
        <v>0</v>
      </c>
      <c r="BH246" s="91">
        <f>IF($U$246="sníž. přenesená",$N$246,0)</f>
        <v>0</v>
      </c>
      <c r="BI246" s="91">
        <f>IF($U$246="nulová",$N$246,0)</f>
        <v>0</v>
      </c>
      <c r="BJ246" s="9" t="s">
        <v>17</v>
      </c>
      <c r="BK246" s="91">
        <f>ROUND($L$246*$K$246,2)</f>
        <v>0</v>
      </c>
      <c r="BL246" s="9" t="s">
        <v>207</v>
      </c>
    </row>
    <row r="247" spans="2:51" s="9" customFormat="1" ht="27" customHeight="1">
      <c r="B247" s="117"/>
      <c r="E247" s="118"/>
      <c r="F247" s="183" t="s">
        <v>280</v>
      </c>
      <c r="G247" s="183"/>
      <c r="H247" s="183"/>
      <c r="I247" s="183"/>
      <c r="K247" s="119">
        <v>43.47</v>
      </c>
      <c r="R247" s="120"/>
      <c r="T247" s="121"/>
      <c r="AA247" s="122"/>
      <c r="AT247" s="118" t="s">
        <v>137</v>
      </c>
      <c r="AU247" s="118" t="s">
        <v>90</v>
      </c>
      <c r="AV247" s="118" t="s">
        <v>90</v>
      </c>
      <c r="AW247" s="118" t="s">
        <v>98</v>
      </c>
      <c r="AX247" s="118" t="s">
        <v>73</v>
      </c>
      <c r="AY247" s="118" t="s">
        <v>130</v>
      </c>
    </row>
    <row r="248" spans="2:51" s="9" customFormat="1" ht="15.75" customHeight="1">
      <c r="B248" s="129"/>
      <c r="E248" s="130"/>
      <c r="F248" s="187" t="s">
        <v>147</v>
      </c>
      <c r="G248" s="187"/>
      <c r="H248" s="187"/>
      <c r="I248" s="187"/>
      <c r="K248" s="132">
        <v>43.47</v>
      </c>
      <c r="R248" s="133"/>
      <c r="T248" s="134"/>
      <c r="AA248" s="135"/>
      <c r="AT248" s="130" t="s">
        <v>137</v>
      </c>
      <c r="AU248" s="130" t="s">
        <v>90</v>
      </c>
      <c r="AV248" s="130" t="s">
        <v>135</v>
      </c>
      <c r="AW248" s="130" t="s">
        <v>98</v>
      </c>
      <c r="AX248" s="130" t="s">
        <v>17</v>
      </c>
      <c r="AY248" s="130" t="s">
        <v>130</v>
      </c>
    </row>
    <row r="249" spans="2:64" s="9" customFormat="1" ht="27" customHeight="1">
      <c r="B249" s="21"/>
      <c r="C249" s="110" t="s">
        <v>281</v>
      </c>
      <c r="D249" s="110" t="s">
        <v>131</v>
      </c>
      <c r="E249" s="111" t="s">
        <v>282</v>
      </c>
      <c r="F249" s="181" t="s">
        <v>283</v>
      </c>
      <c r="G249" s="181"/>
      <c r="H249" s="181"/>
      <c r="I249" s="181"/>
      <c r="J249" s="112" t="s">
        <v>134</v>
      </c>
      <c r="K249" s="113">
        <v>5.28</v>
      </c>
      <c r="L249" s="182"/>
      <c r="M249" s="182"/>
      <c r="N249" s="182">
        <f>ROUND($L$249*$K$249,2)</f>
        <v>0</v>
      </c>
      <c r="O249" s="182"/>
      <c r="P249" s="182"/>
      <c r="Q249" s="182"/>
      <c r="R249" s="22"/>
      <c r="T249" s="114"/>
      <c r="U249" s="27" t="s">
        <v>38</v>
      </c>
      <c r="V249" s="115">
        <v>0.317</v>
      </c>
      <c r="W249" s="115">
        <f>$V$249*$K$249</f>
        <v>1.6737600000000001</v>
      </c>
      <c r="X249" s="115">
        <v>0.00229</v>
      </c>
      <c r="Y249" s="115">
        <f>$X$249*$K$249</f>
        <v>0.0120912</v>
      </c>
      <c r="Z249" s="115">
        <v>0</v>
      </c>
      <c r="AA249" s="116">
        <f>$Z$249*$K$249</f>
        <v>0</v>
      </c>
      <c r="AR249" s="9" t="s">
        <v>207</v>
      </c>
      <c r="AT249" s="9" t="s">
        <v>131</v>
      </c>
      <c r="AU249" s="9" t="s">
        <v>90</v>
      </c>
      <c r="AY249" s="9" t="s">
        <v>130</v>
      </c>
      <c r="BE249" s="91">
        <f>IF($U$249="základní",$N$249,0)</f>
        <v>0</v>
      </c>
      <c r="BF249" s="91">
        <f>IF($U$249="snížená",$N$249,0)</f>
        <v>0</v>
      </c>
      <c r="BG249" s="91">
        <f>IF($U$249="zákl. přenesená",$N$249,0)</f>
        <v>0</v>
      </c>
      <c r="BH249" s="91">
        <f>IF($U$249="sníž. přenesená",$N$249,0)</f>
        <v>0</v>
      </c>
      <c r="BI249" s="91">
        <f>IF($U$249="nulová",$N$249,0)</f>
        <v>0</v>
      </c>
      <c r="BJ249" s="9" t="s">
        <v>17</v>
      </c>
      <c r="BK249" s="91">
        <f>ROUND($L$249*$K$249,2)</f>
        <v>0</v>
      </c>
      <c r="BL249" s="9" t="s">
        <v>207</v>
      </c>
    </row>
    <row r="250" spans="2:51" s="9" customFormat="1" ht="15.75" customHeight="1">
      <c r="B250" s="117"/>
      <c r="E250" s="118"/>
      <c r="F250" s="183" t="s">
        <v>284</v>
      </c>
      <c r="G250" s="183"/>
      <c r="H250" s="183"/>
      <c r="I250" s="183"/>
      <c r="K250" s="119">
        <v>5.28</v>
      </c>
      <c r="R250" s="120"/>
      <c r="T250" s="121"/>
      <c r="AA250" s="122"/>
      <c r="AT250" s="118" t="s">
        <v>137</v>
      </c>
      <c r="AU250" s="118" t="s">
        <v>90</v>
      </c>
      <c r="AV250" s="118" t="s">
        <v>90</v>
      </c>
      <c r="AW250" s="118" t="s">
        <v>98</v>
      </c>
      <c r="AX250" s="118" t="s">
        <v>17</v>
      </c>
      <c r="AY250" s="118" t="s">
        <v>130</v>
      </c>
    </row>
    <row r="251" spans="2:64" s="9" customFormat="1" ht="15.75" customHeight="1">
      <c r="B251" s="21"/>
      <c r="C251" s="110" t="s">
        <v>285</v>
      </c>
      <c r="D251" s="110" t="s">
        <v>131</v>
      </c>
      <c r="E251" s="111" t="s">
        <v>286</v>
      </c>
      <c r="F251" s="181" t="s">
        <v>287</v>
      </c>
      <c r="G251" s="181"/>
      <c r="H251" s="181"/>
      <c r="I251" s="181"/>
      <c r="J251" s="112" t="s">
        <v>134</v>
      </c>
      <c r="K251" s="113">
        <v>47.52</v>
      </c>
      <c r="L251" s="182"/>
      <c r="M251" s="182"/>
      <c r="N251" s="182">
        <f>ROUND($L$251*$K$251,2)</f>
        <v>0</v>
      </c>
      <c r="O251" s="182"/>
      <c r="P251" s="182"/>
      <c r="Q251" s="182"/>
      <c r="R251" s="22"/>
      <c r="T251" s="114"/>
      <c r="U251" s="27" t="s">
        <v>38</v>
      </c>
      <c r="V251" s="115">
        <v>0.08</v>
      </c>
      <c r="W251" s="115">
        <f>$V$251*$K$251</f>
        <v>3.8016000000000005</v>
      </c>
      <c r="X251" s="115">
        <v>0</v>
      </c>
      <c r="Y251" s="115">
        <f>$X$251*$K$251</f>
        <v>0</v>
      </c>
      <c r="Z251" s="115">
        <v>0.00135</v>
      </c>
      <c r="AA251" s="116">
        <f>$Z$251*$K$251</f>
        <v>0.064152</v>
      </c>
      <c r="AR251" s="9" t="s">
        <v>207</v>
      </c>
      <c r="AT251" s="9" t="s">
        <v>131</v>
      </c>
      <c r="AU251" s="9" t="s">
        <v>90</v>
      </c>
      <c r="AY251" s="9" t="s">
        <v>130</v>
      </c>
      <c r="BE251" s="91">
        <f>IF($U$251="základní",$N$251,0)</f>
        <v>0</v>
      </c>
      <c r="BF251" s="91">
        <f>IF($U$251="snížená",$N$251,0)</f>
        <v>0</v>
      </c>
      <c r="BG251" s="91">
        <f>IF($U$251="zákl. přenesená",$N$251,0)</f>
        <v>0</v>
      </c>
      <c r="BH251" s="91">
        <f>IF($U$251="sníž. přenesená",$N$251,0)</f>
        <v>0</v>
      </c>
      <c r="BI251" s="91">
        <f>IF($U$251="nulová",$N$251,0)</f>
        <v>0</v>
      </c>
      <c r="BJ251" s="9" t="s">
        <v>17</v>
      </c>
      <c r="BK251" s="91">
        <f>ROUND($L$251*$K$251,2)</f>
        <v>0</v>
      </c>
      <c r="BL251" s="9" t="s">
        <v>207</v>
      </c>
    </row>
    <row r="252" spans="2:51" s="9" customFormat="1" ht="15.75" customHeight="1">
      <c r="B252" s="117"/>
      <c r="E252" s="118"/>
      <c r="F252" s="183" t="s">
        <v>288</v>
      </c>
      <c r="G252" s="183"/>
      <c r="H252" s="183"/>
      <c r="I252" s="183"/>
      <c r="K252" s="119">
        <v>47.52</v>
      </c>
      <c r="R252" s="120"/>
      <c r="T252" s="121"/>
      <c r="AA252" s="122"/>
      <c r="AT252" s="118" t="s">
        <v>137</v>
      </c>
      <c r="AU252" s="118" t="s">
        <v>90</v>
      </c>
      <c r="AV252" s="118" t="s">
        <v>90</v>
      </c>
      <c r="AW252" s="118" t="s">
        <v>98</v>
      </c>
      <c r="AX252" s="118" t="s">
        <v>73</v>
      </c>
      <c r="AY252" s="118" t="s">
        <v>130</v>
      </c>
    </row>
    <row r="253" spans="2:51" s="9" customFormat="1" ht="15.75" customHeight="1">
      <c r="B253" s="129"/>
      <c r="E253" s="130"/>
      <c r="F253" s="187" t="s">
        <v>147</v>
      </c>
      <c r="G253" s="187"/>
      <c r="H253" s="187"/>
      <c r="I253" s="187"/>
      <c r="K253" s="132">
        <v>47.52</v>
      </c>
      <c r="R253" s="133"/>
      <c r="T253" s="134"/>
      <c r="AA253" s="135"/>
      <c r="AT253" s="130" t="s">
        <v>137</v>
      </c>
      <c r="AU253" s="130" t="s">
        <v>90</v>
      </c>
      <c r="AV253" s="130" t="s">
        <v>135</v>
      </c>
      <c r="AW253" s="130" t="s">
        <v>98</v>
      </c>
      <c r="AX253" s="130" t="s">
        <v>17</v>
      </c>
      <c r="AY253" s="130" t="s">
        <v>130</v>
      </c>
    </row>
    <row r="254" spans="2:64" s="9" customFormat="1" ht="15.75" customHeight="1">
      <c r="B254" s="21"/>
      <c r="C254" s="110" t="s">
        <v>289</v>
      </c>
      <c r="D254" s="110" t="s">
        <v>131</v>
      </c>
      <c r="E254" s="111" t="s">
        <v>290</v>
      </c>
      <c r="F254" s="181" t="s">
        <v>291</v>
      </c>
      <c r="G254" s="181"/>
      <c r="H254" s="181"/>
      <c r="I254" s="181"/>
      <c r="J254" s="112" t="s">
        <v>134</v>
      </c>
      <c r="K254" s="113">
        <v>5.28</v>
      </c>
      <c r="L254" s="182"/>
      <c r="M254" s="182"/>
      <c r="N254" s="182">
        <f>ROUND($L$254*$K$254,2)</f>
        <v>0</v>
      </c>
      <c r="O254" s="182"/>
      <c r="P254" s="182"/>
      <c r="Q254" s="182"/>
      <c r="R254" s="22"/>
      <c r="T254" s="114"/>
      <c r="U254" s="27" t="s">
        <v>38</v>
      </c>
      <c r="V254" s="115">
        <v>0.09</v>
      </c>
      <c r="W254" s="115">
        <f>$V$254*$K$254</f>
        <v>0.4752</v>
      </c>
      <c r="X254" s="115">
        <v>0</v>
      </c>
      <c r="Y254" s="115">
        <f>$X$254*$K$254</f>
        <v>0</v>
      </c>
      <c r="Z254" s="115">
        <v>0.00287</v>
      </c>
      <c r="AA254" s="116">
        <f>$Z$254*$K$254</f>
        <v>0.015153600000000001</v>
      </c>
      <c r="AR254" s="9" t="s">
        <v>207</v>
      </c>
      <c r="AT254" s="9" t="s">
        <v>131</v>
      </c>
      <c r="AU254" s="9" t="s">
        <v>90</v>
      </c>
      <c r="AY254" s="9" t="s">
        <v>130</v>
      </c>
      <c r="BE254" s="91">
        <f>IF($U$254="základní",$N$254,0)</f>
        <v>0</v>
      </c>
      <c r="BF254" s="91">
        <f>IF($U$254="snížená",$N$254,0)</f>
        <v>0</v>
      </c>
      <c r="BG254" s="91">
        <f>IF($U$254="zákl. přenesená",$N$254,0)</f>
        <v>0</v>
      </c>
      <c r="BH254" s="91">
        <f>IF($U$254="sníž. přenesená",$N$254,0)</f>
        <v>0</v>
      </c>
      <c r="BI254" s="91">
        <f>IF($U$254="nulová",$N$254,0)</f>
        <v>0</v>
      </c>
      <c r="BJ254" s="9" t="s">
        <v>17</v>
      </c>
      <c r="BK254" s="91">
        <f>ROUND($L$254*$K$254,2)</f>
        <v>0</v>
      </c>
      <c r="BL254" s="9" t="s">
        <v>207</v>
      </c>
    </row>
    <row r="255" spans="2:51" s="9" customFormat="1" ht="15.75" customHeight="1">
      <c r="B255" s="117"/>
      <c r="E255" s="118"/>
      <c r="F255" s="183" t="s">
        <v>284</v>
      </c>
      <c r="G255" s="183"/>
      <c r="H255" s="183"/>
      <c r="I255" s="183"/>
      <c r="K255" s="119">
        <v>5.28</v>
      </c>
      <c r="R255" s="120"/>
      <c r="T255" s="121"/>
      <c r="AA255" s="122"/>
      <c r="AT255" s="118" t="s">
        <v>137</v>
      </c>
      <c r="AU255" s="118" t="s">
        <v>90</v>
      </c>
      <c r="AV255" s="118" t="s">
        <v>90</v>
      </c>
      <c r="AW255" s="118" t="s">
        <v>98</v>
      </c>
      <c r="AX255" s="118" t="s">
        <v>73</v>
      </c>
      <c r="AY255" s="118" t="s">
        <v>130</v>
      </c>
    </row>
    <row r="256" spans="2:64" s="9" customFormat="1" ht="15.75" customHeight="1">
      <c r="B256" s="21"/>
      <c r="C256" s="110" t="s">
        <v>292</v>
      </c>
      <c r="D256" s="110" t="s">
        <v>131</v>
      </c>
      <c r="E256" s="111" t="s">
        <v>293</v>
      </c>
      <c r="F256" s="181" t="s">
        <v>294</v>
      </c>
      <c r="G256" s="181"/>
      <c r="H256" s="181"/>
      <c r="I256" s="181"/>
      <c r="J256" s="112" t="s">
        <v>134</v>
      </c>
      <c r="K256" s="113">
        <v>21</v>
      </c>
      <c r="L256" s="182"/>
      <c r="M256" s="182"/>
      <c r="N256" s="182">
        <f>ROUND($L$256*$K$256,2)</f>
        <v>0</v>
      </c>
      <c r="O256" s="182"/>
      <c r="P256" s="182"/>
      <c r="Q256" s="182"/>
      <c r="R256" s="22"/>
      <c r="T256" s="114"/>
      <c r="U256" s="27" t="s">
        <v>38</v>
      </c>
      <c r="V256" s="115">
        <v>0.174</v>
      </c>
      <c r="W256" s="115">
        <f>$V$256*$K$256</f>
        <v>3.654</v>
      </c>
      <c r="X256" s="115">
        <v>0.00141</v>
      </c>
      <c r="Y256" s="115">
        <f>$X$256*$K$256</f>
        <v>0.02961</v>
      </c>
      <c r="Z256" s="115">
        <v>0</v>
      </c>
      <c r="AA256" s="116">
        <f>$Z$256*$K$256</f>
        <v>0</v>
      </c>
      <c r="AR256" s="9" t="s">
        <v>207</v>
      </c>
      <c r="AT256" s="9" t="s">
        <v>131</v>
      </c>
      <c r="AU256" s="9" t="s">
        <v>90</v>
      </c>
      <c r="AY256" s="9" t="s">
        <v>130</v>
      </c>
      <c r="BE256" s="91">
        <f>IF($U$256="základní",$N$256,0)</f>
        <v>0</v>
      </c>
      <c r="BF256" s="91">
        <f>IF($U$256="snížená",$N$256,0)</f>
        <v>0</v>
      </c>
      <c r="BG256" s="91">
        <f>IF($U$256="zákl. přenesená",$N$256,0)</f>
        <v>0</v>
      </c>
      <c r="BH256" s="91">
        <f>IF($U$256="sníž. přenesená",$N$256,0)</f>
        <v>0</v>
      </c>
      <c r="BI256" s="91">
        <f>IF($U$256="nulová",$N$256,0)</f>
        <v>0</v>
      </c>
      <c r="BJ256" s="9" t="s">
        <v>17</v>
      </c>
      <c r="BK256" s="91">
        <f>ROUND($L$256*$K$256,2)</f>
        <v>0</v>
      </c>
      <c r="BL256" s="9" t="s">
        <v>207</v>
      </c>
    </row>
    <row r="257" spans="2:51" s="9" customFormat="1" ht="15.75" customHeight="1">
      <c r="B257" s="117"/>
      <c r="E257" s="118"/>
      <c r="F257" s="183">
        <v>21</v>
      </c>
      <c r="G257" s="183"/>
      <c r="H257" s="183"/>
      <c r="I257" s="183"/>
      <c r="K257" s="119">
        <v>21</v>
      </c>
      <c r="R257" s="120"/>
      <c r="T257" s="121"/>
      <c r="AA257" s="122"/>
      <c r="AT257" s="118" t="s">
        <v>137</v>
      </c>
      <c r="AU257" s="118" t="s">
        <v>90</v>
      </c>
      <c r="AV257" s="118" t="s">
        <v>90</v>
      </c>
      <c r="AW257" s="118" t="s">
        <v>98</v>
      </c>
      <c r="AX257" s="118" t="s">
        <v>17</v>
      </c>
      <c r="AY257" s="118" t="s">
        <v>130</v>
      </c>
    </row>
    <row r="258" spans="2:64" s="9" customFormat="1" ht="15.75" customHeight="1">
      <c r="B258" s="21"/>
      <c r="C258" s="110" t="s">
        <v>295</v>
      </c>
      <c r="D258" s="110" t="s">
        <v>131</v>
      </c>
      <c r="E258" s="111" t="s">
        <v>296</v>
      </c>
      <c r="F258" s="181" t="s">
        <v>297</v>
      </c>
      <c r="G258" s="181"/>
      <c r="H258" s="181"/>
      <c r="I258" s="181"/>
      <c r="J258" s="112" t="s">
        <v>134</v>
      </c>
      <c r="K258" s="113">
        <v>37.75</v>
      </c>
      <c r="L258" s="182"/>
      <c r="M258" s="182"/>
      <c r="N258" s="182">
        <f>ROUND($L$258*$K$258,2)</f>
        <v>0</v>
      </c>
      <c r="O258" s="182"/>
      <c r="P258" s="182"/>
      <c r="Q258" s="182"/>
      <c r="R258" s="22"/>
      <c r="T258" s="114"/>
      <c r="U258" s="27" t="s">
        <v>38</v>
      </c>
      <c r="V258" s="115">
        <v>0.178</v>
      </c>
      <c r="W258" s="115">
        <f>$V$258*$K$258</f>
        <v>6.7195</v>
      </c>
      <c r="X258" s="115">
        <v>0.00186</v>
      </c>
      <c r="Y258" s="115">
        <f>$X$258*$K$258</f>
        <v>0.070215</v>
      </c>
      <c r="Z258" s="115">
        <v>0</v>
      </c>
      <c r="AA258" s="116">
        <f>$Z$258*$K$258</f>
        <v>0</v>
      </c>
      <c r="AR258" s="9" t="s">
        <v>207</v>
      </c>
      <c r="AT258" s="9" t="s">
        <v>131</v>
      </c>
      <c r="AU258" s="9" t="s">
        <v>90</v>
      </c>
      <c r="AY258" s="9" t="s">
        <v>130</v>
      </c>
      <c r="BE258" s="91">
        <f>IF($U$258="základní",$N$258,0)</f>
        <v>0</v>
      </c>
      <c r="BF258" s="91">
        <f>IF($U$258="snížená",$N$258,0)</f>
        <v>0</v>
      </c>
      <c r="BG258" s="91">
        <f>IF($U$258="zákl. přenesená",$N$258,0)</f>
        <v>0</v>
      </c>
      <c r="BH258" s="91">
        <f>IF($U$258="sníž. přenesená",$N$258,0)</f>
        <v>0</v>
      </c>
      <c r="BI258" s="91">
        <f>IF($U$258="nulová",$N$258,0)</f>
        <v>0</v>
      </c>
      <c r="BJ258" s="9" t="s">
        <v>17</v>
      </c>
      <c r="BK258" s="91">
        <f>ROUND($L$258*$K$258,2)</f>
        <v>0</v>
      </c>
      <c r="BL258" s="9" t="s">
        <v>207</v>
      </c>
    </row>
    <row r="259" spans="2:51" s="9" customFormat="1" ht="15.75" customHeight="1">
      <c r="B259" s="117"/>
      <c r="E259" s="118"/>
      <c r="F259" s="183">
        <v>37.75</v>
      </c>
      <c r="G259" s="183"/>
      <c r="H259" s="183"/>
      <c r="I259" s="183"/>
      <c r="K259" s="119">
        <v>37.75</v>
      </c>
      <c r="R259" s="120"/>
      <c r="T259" s="121"/>
      <c r="AA259" s="122"/>
      <c r="AT259" s="118" t="s">
        <v>137</v>
      </c>
      <c r="AU259" s="118" t="s">
        <v>90</v>
      </c>
      <c r="AV259" s="118" t="s">
        <v>90</v>
      </c>
      <c r="AW259" s="118" t="s">
        <v>98</v>
      </c>
      <c r="AX259" s="118" t="s">
        <v>17</v>
      </c>
      <c r="AY259" s="118" t="s">
        <v>130</v>
      </c>
    </row>
    <row r="260" spans="2:64" s="9" customFormat="1" ht="15.75" customHeight="1">
      <c r="B260" s="21"/>
      <c r="C260" s="110" t="s">
        <v>298</v>
      </c>
      <c r="D260" s="110" t="s">
        <v>131</v>
      </c>
      <c r="E260" s="111" t="s">
        <v>299</v>
      </c>
      <c r="F260" s="181" t="s">
        <v>300</v>
      </c>
      <c r="G260" s="181"/>
      <c r="H260" s="181"/>
      <c r="I260" s="181"/>
      <c r="J260" s="112" t="s">
        <v>134</v>
      </c>
      <c r="K260" s="113">
        <v>62.65</v>
      </c>
      <c r="L260" s="182"/>
      <c r="M260" s="182"/>
      <c r="N260" s="182">
        <f>ROUND($L$260*$K$260,2)</f>
        <v>0</v>
      </c>
      <c r="O260" s="182"/>
      <c r="P260" s="182"/>
      <c r="Q260" s="182"/>
      <c r="R260" s="22"/>
      <c r="T260" s="114"/>
      <c r="U260" s="27" t="s">
        <v>38</v>
      </c>
      <c r="V260" s="115">
        <v>0.206</v>
      </c>
      <c r="W260" s="115">
        <f>$V$260*$K$260</f>
        <v>12.905899999999999</v>
      </c>
      <c r="X260" s="115">
        <v>0.00283</v>
      </c>
      <c r="Y260" s="115">
        <f>$X$260*$K$260</f>
        <v>0.1772995</v>
      </c>
      <c r="Z260" s="115">
        <v>0</v>
      </c>
      <c r="AA260" s="116">
        <f>$Z$260*$K$260</f>
        <v>0</v>
      </c>
      <c r="AR260" s="9" t="s">
        <v>207</v>
      </c>
      <c r="AT260" s="9" t="s">
        <v>131</v>
      </c>
      <c r="AU260" s="9" t="s">
        <v>90</v>
      </c>
      <c r="AY260" s="9" t="s">
        <v>130</v>
      </c>
      <c r="BE260" s="91">
        <f>IF($U$260="základní",$N$260,0)</f>
        <v>0</v>
      </c>
      <c r="BF260" s="91">
        <f>IF($U$260="snížená",$N$260,0)</f>
        <v>0</v>
      </c>
      <c r="BG260" s="91">
        <f>IF($U$260="zákl. přenesená",$N$260,0)</f>
        <v>0</v>
      </c>
      <c r="BH260" s="91">
        <f>IF($U$260="sníž. přenesená",$N$260,0)</f>
        <v>0</v>
      </c>
      <c r="BI260" s="91">
        <f>IF($U$260="nulová",$N$260,0)</f>
        <v>0</v>
      </c>
      <c r="BJ260" s="9" t="s">
        <v>17</v>
      </c>
      <c r="BK260" s="91">
        <f>ROUND($L$260*$K$260,2)</f>
        <v>0</v>
      </c>
      <c r="BL260" s="9" t="s">
        <v>207</v>
      </c>
    </row>
    <row r="261" spans="2:51" s="9" customFormat="1" ht="15.75" customHeight="1">
      <c r="B261" s="117"/>
      <c r="E261" s="118"/>
      <c r="F261" s="183" t="s">
        <v>301</v>
      </c>
      <c r="G261" s="183"/>
      <c r="H261" s="183"/>
      <c r="I261" s="183"/>
      <c r="K261" s="119">
        <v>62.65</v>
      </c>
      <c r="R261" s="120"/>
      <c r="T261" s="121"/>
      <c r="AA261" s="122"/>
      <c r="AT261" s="118" t="s">
        <v>137</v>
      </c>
      <c r="AU261" s="118" t="s">
        <v>90</v>
      </c>
      <c r="AV261" s="118" t="s">
        <v>90</v>
      </c>
      <c r="AW261" s="118" t="s">
        <v>98</v>
      </c>
      <c r="AX261" s="118" t="s">
        <v>17</v>
      </c>
      <c r="AY261" s="118" t="s">
        <v>130</v>
      </c>
    </row>
    <row r="262" spans="2:64" s="9" customFormat="1" ht="15.75" customHeight="1">
      <c r="B262" s="21"/>
      <c r="C262" s="110" t="s">
        <v>302</v>
      </c>
      <c r="D262" s="110" t="s">
        <v>131</v>
      </c>
      <c r="E262" s="111" t="s">
        <v>303</v>
      </c>
      <c r="F262" s="181" t="s">
        <v>304</v>
      </c>
      <c r="G262" s="181"/>
      <c r="H262" s="181"/>
      <c r="I262" s="181"/>
      <c r="J262" s="112" t="s">
        <v>134</v>
      </c>
      <c r="K262" s="113">
        <v>62.15</v>
      </c>
      <c r="L262" s="182"/>
      <c r="M262" s="182"/>
      <c r="N262" s="182">
        <f>ROUND($L$262*$K$262,2)</f>
        <v>0</v>
      </c>
      <c r="O262" s="182"/>
      <c r="P262" s="182"/>
      <c r="Q262" s="182"/>
      <c r="R262" s="22"/>
      <c r="T262" s="114"/>
      <c r="U262" s="27" t="s">
        <v>38</v>
      </c>
      <c r="V262" s="115">
        <v>0.22</v>
      </c>
      <c r="W262" s="115">
        <f>$V$262*$K$262</f>
        <v>13.673</v>
      </c>
      <c r="X262" s="115">
        <v>0.0034</v>
      </c>
      <c r="Y262" s="115">
        <f>$X$262*$K$262</f>
        <v>0.21130999999999997</v>
      </c>
      <c r="Z262" s="115">
        <v>0</v>
      </c>
      <c r="AA262" s="116">
        <f>$Z$262*$K$262</f>
        <v>0</v>
      </c>
      <c r="AR262" s="9" t="s">
        <v>207</v>
      </c>
      <c r="AT262" s="9" t="s">
        <v>131</v>
      </c>
      <c r="AU262" s="9" t="s">
        <v>90</v>
      </c>
      <c r="AY262" s="9" t="s">
        <v>130</v>
      </c>
      <c r="BE262" s="91">
        <f>IF($U$262="základní",$N$262,0)</f>
        <v>0</v>
      </c>
      <c r="BF262" s="91">
        <f>IF($U$262="snížená",$N$262,0)</f>
        <v>0</v>
      </c>
      <c r="BG262" s="91">
        <f>IF($U$262="zákl. přenesená",$N$262,0)</f>
        <v>0</v>
      </c>
      <c r="BH262" s="91">
        <f>IF($U$262="sníž. přenesená",$N$262,0)</f>
        <v>0</v>
      </c>
      <c r="BI262" s="91">
        <f>IF($U$262="nulová",$N$262,0)</f>
        <v>0</v>
      </c>
      <c r="BJ262" s="9" t="s">
        <v>17</v>
      </c>
      <c r="BK262" s="91">
        <f>ROUND($L$262*$K$262,2)</f>
        <v>0</v>
      </c>
      <c r="BL262" s="9" t="s">
        <v>207</v>
      </c>
    </row>
    <row r="263" spans="2:51" s="9" customFormat="1" ht="15.75" customHeight="1">
      <c r="B263" s="117"/>
      <c r="E263" s="118"/>
      <c r="F263" s="183" t="s">
        <v>305</v>
      </c>
      <c r="G263" s="183"/>
      <c r="H263" s="183"/>
      <c r="I263" s="183"/>
      <c r="K263" s="119">
        <v>62.15</v>
      </c>
      <c r="R263" s="120"/>
      <c r="T263" s="121"/>
      <c r="AA263" s="122"/>
      <c r="AT263" s="118" t="s">
        <v>137</v>
      </c>
      <c r="AU263" s="118" t="s">
        <v>90</v>
      </c>
      <c r="AV263" s="118" t="s">
        <v>90</v>
      </c>
      <c r="AW263" s="118" t="s">
        <v>98</v>
      </c>
      <c r="AX263" s="118" t="s">
        <v>17</v>
      </c>
      <c r="AY263" s="118" t="s">
        <v>130</v>
      </c>
    </row>
    <row r="264" spans="2:64" s="9" customFormat="1" ht="15.75" customHeight="1">
      <c r="B264" s="21"/>
      <c r="C264" s="110" t="s">
        <v>306</v>
      </c>
      <c r="D264" s="110" t="s">
        <v>131</v>
      </c>
      <c r="E264" s="111" t="s">
        <v>307</v>
      </c>
      <c r="F264" s="181" t="s">
        <v>308</v>
      </c>
      <c r="G264" s="181"/>
      <c r="H264" s="181"/>
      <c r="I264" s="181"/>
      <c r="J264" s="112" t="s">
        <v>134</v>
      </c>
      <c r="K264" s="113">
        <v>59.45</v>
      </c>
      <c r="L264" s="182"/>
      <c r="M264" s="182"/>
      <c r="N264" s="182">
        <f>ROUND($L$264*$K$264,2)</f>
        <v>0</v>
      </c>
      <c r="O264" s="182"/>
      <c r="P264" s="182"/>
      <c r="Q264" s="182"/>
      <c r="R264" s="22"/>
      <c r="T264" s="114"/>
      <c r="U264" s="27" t="s">
        <v>38</v>
      </c>
      <c r="V264" s="115">
        <v>0.07</v>
      </c>
      <c r="W264" s="115">
        <f>$V$264*$K$264</f>
        <v>4.1615</v>
      </c>
      <c r="X264" s="115">
        <v>0</v>
      </c>
      <c r="Y264" s="115">
        <f>$X$264*$K$264</f>
        <v>0</v>
      </c>
      <c r="Z264" s="115">
        <v>0.00175</v>
      </c>
      <c r="AA264" s="116">
        <f>$Z$264*$K$264</f>
        <v>0.1040375</v>
      </c>
      <c r="AR264" s="9" t="s">
        <v>207</v>
      </c>
      <c r="AT264" s="9" t="s">
        <v>131</v>
      </c>
      <c r="AU264" s="9" t="s">
        <v>90</v>
      </c>
      <c r="AY264" s="9" t="s">
        <v>130</v>
      </c>
      <c r="BE264" s="91">
        <f>IF($U$264="základní",$N$264,0)</f>
        <v>0</v>
      </c>
      <c r="BF264" s="91">
        <f>IF($U$264="snížená",$N$264,0)</f>
        <v>0</v>
      </c>
      <c r="BG264" s="91">
        <f>IF($U$264="zákl. přenesená",$N$264,0)</f>
        <v>0</v>
      </c>
      <c r="BH264" s="91">
        <f>IF($U$264="sníž. přenesená",$N$264,0)</f>
        <v>0</v>
      </c>
      <c r="BI264" s="91">
        <f>IF($U$264="nulová",$N$264,0)</f>
        <v>0</v>
      </c>
      <c r="BJ264" s="9" t="s">
        <v>17</v>
      </c>
      <c r="BK264" s="91">
        <f>ROUND($L$264*$K$264,2)</f>
        <v>0</v>
      </c>
      <c r="BL264" s="9" t="s">
        <v>207</v>
      </c>
    </row>
    <row r="265" spans="2:51" s="9" customFormat="1" ht="15.75" customHeight="1">
      <c r="B265" s="117"/>
      <c r="E265" s="118"/>
      <c r="F265" s="183" t="s">
        <v>309</v>
      </c>
      <c r="G265" s="183"/>
      <c r="H265" s="183"/>
      <c r="I265" s="183"/>
      <c r="K265" s="119">
        <v>59.45</v>
      </c>
      <c r="R265" s="120"/>
      <c r="T265" s="121"/>
      <c r="AA265" s="122"/>
      <c r="AT265" s="118" t="s">
        <v>137</v>
      </c>
      <c r="AU265" s="118" t="s">
        <v>90</v>
      </c>
      <c r="AV265" s="118" t="s">
        <v>90</v>
      </c>
      <c r="AW265" s="118" t="s">
        <v>98</v>
      </c>
      <c r="AX265" s="118" t="s">
        <v>17</v>
      </c>
      <c r="AY265" s="118" t="s">
        <v>130</v>
      </c>
    </row>
    <row r="266" spans="2:64" s="9" customFormat="1" ht="15.75" customHeight="1">
      <c r="B266" s="21"/>
      <c r="C266" s="110" t="s">
        <v>310</v>
      </c>
      <c r="D266" s="110" t="s">
        <v>131</v>
      </c>
      <c r="E266" s="111" t="s">
        <v>311</v>
      </c>
      <c r="F266" s="181" t="s">
        <v>312</v>
      </c>
      <c r="G266" s="181"/>
      <c r="H266" s="181"/>
      <c r="I266" s="181"/>
      <c r="J266" s="112" t="s">
        <v>134</v>
      </c>
      <c r="K266" s="113">
        <v>62.65</v>
      </c>
      <c r="L266" s="182"/>
      <c r="M266" s="182"/>
      <c r="N266" s="182">
        <f>ROUND($L$266*$K$266,2)</f>
        <v>0</v>
      </c>
      <c r="O266" s="182"/>
      <c r="P266" s="182"/>
      <c r="Q266" s="182"/>
      <c r="R266" s="22"/>
      <c r="T266" s="114"/>
      <c r="U266" s="27" t="s">
        <v>38</v>
      </c>
      <c r="V266" s="115">
        <v>0.08</v>
      </c>
      <c r="W266" s="115">
        <f>$V$266*$K$266</f>
        <v>5.012</v>
      </c>
      <c r="X266" s="115">
        <v>0</v>
      </c>
      <c r="Y266" s="115">
        <f>$X$266*$K$266</f>
        <v>0</v>
      </c>
      <c r="Z266" s="115">
        <v>0.00252</v>
      </c>
      <c r="AA266" s="116">
        <f>$Z$266*$K$266</f>
        <v>0.157878</v>
      </c>
      <c r="AR266" s="9" t="s">
        <v>207</v>
      </c>
      <c r="AT266" s="9" t="s">
        <v>131</v>
      </c>
      <c r="AU266" s="9" t="s">
        <v>90</v>
      </c>
      <c r="AY266" s="9" t="s">
        <v>130</v>
      </c>
      <c r="BE266" s="91">
        <f>IF($U$266="základní",$N$266,0)</f>
        <v>0</v>
      </c>
      <c r="BF266" s="91">
        <f>IF($U$266="snížená",$N$266,0)</f>
        <v>0</v>
      </c>
      <c r="BG266" s="91">
        <f>IF($U$266="zákl. přenesená",$N$266,0)</f>
        <v>0</v>
      </c>
      <c r="BH266" s="91">
        <f>IF($U$266="sníž. přenesená",$N$266,0)</f>
        <v>0</v>
      </c>
      <c r="BI266" s="91">
        <f>IF($U$266="nulová",$N$266,0)</f>
        <v>0</v>
      </c>
      <c r="BJ266" s="9" t="s">
        <v>17</v>
      </c>
      <c r="BK266" s="91">
        <f>ROUND($L$266*$K$266,2)</f>
        <v>0</v>
      </c>
      <c r="BL266" s="9" t="s">
        <v>207</v>
      </c>
    </row>
    <row r="267" spans="2:51" s="9" customFormat="1" ht="15.75" customHeight="1">
      <c r="B267" s="117"/>
      <c r="E267" s="118"/>
      <c r="F267" s="183" t="s">
        <v>301</v>
      </c>
      <c r="G267" s="183"/>
      <c r="H267" s="183"/>
      <c r="I267" s="183"/>
      <c r="K267" s="119">
        <v>62.65</v>
      </c>
      <c r="R267" s="120"/>
      <c r="T267" s="121"/>
      <c r="AA267" s="122"/>
      <c r="AT267" s="118" t="s">
        <v>137</v>
      </c>
      <c r="AU267" s="118" t="s">
        <v>90</v>
      </c>
      <c r="AV267" s="118" t="s">
        <v>90</v>
      </c>
      <c r="AW267" s="118" t="s">
        <v>98</v>
      </c>
      <c r="AX267" s="118" t="s">
        <v>17</v>
      </c>
      <c r="AY267" s="118" t="s">
        <v>130</v>
      </c>
    </row>
    <row r="268" spans="2:64" s="9" customFormat="1" ht="15.75" customHeight="1">
      <c r="B268" s="21"/>
      <c r="C268" s="110" t="s">
        <v>313</v>
      </c>
      <c r="D268" s="110" t="s">
        <v>131</v>
      </c>
      <c r="E268" s="111" t="s">
        <v>314</v>
      </c>
      <c r="F268" s="181" t="s">
        <v>315</v>
      </c>
      <c r="G268" s="181"/>
      <c r="H268" s="181"/>
      <c r="I268" s="181"/>
      <c r="J268" s="112" t="s">
        <v>134</v>
      </c>
      <c r="K268" s="113">
        <v>62.15</v>
      </c>
      <c r="L268" s="182"/>
      <c r="M268" s="182"/>
      <c r="N268" s="182">
        <f>ROUND($L$268*$K$268,2)</f>
        <v>0</v>
      </c>
      <c r="O268" s="182"/>
      <c r="P268" s="182"/>
      <c r="Q268" s="182"/>
      <c r="R268" s="22"/>
      <c r="T268" s="114"/>
      <c r="U268" s="27" t="s">
        <v>38</v>
      </c>
      <c r="V268" s="115">
        <v>0.09</v>
      </c>
      <c r="W268" s="115">
        <f>$V$268*$K$268</f>
        <v>5.5935</v>
      </c>
      <c r="X268" s="115">
        <v>0</v>
      </c>
      <c r="Y268" s="115">
        <f>$X$268*$K$268</f>
        <v>0</v>
      </c>
      <c r="Z268" s="115">
        <v>0.00395</v>
      </c>
      <c r="AA268" s="116">
        <f>$Z$268*$K$268</f>
        <v>0.24549250000000003</v>
      </c>
      <c r="AR268" s="9" t="s">
        <v>207</v>
      </c>
      <c r="AT268" s="9" t="s">
        <v>131</v>
      </c>
      <c r="AU268" s="9" t="s">
        <v>90</v>
      </c>
      <c r="AY268" s="9" t="s">
        <v>130</v>
      </c>
      <c r="BE268" s="91">
        <f>IF($U$268="základní",$N$268,0)</f>
        <v>0</v>
      </c>
      <c r="BF268" s="91">
        <f>IF($U$268="snížená",$N$268,0)</f>
        <v>0</v>
      </c>
      <c r="BG268" s="91">
        <f>IF($U$268="zákl. přenesená",$N$268,0)</f>
        <v>0</v>
      </c>
      <c r="BH268" s="91">
        <f>IF($U$268="sníž. přenesená",$N$268,0)</f>
        <v>0</v>
      </c>
      <c r="BI268" s="91">
        <f>IF($U$268="nulová",$N$268,0)</f>
        <v>0</v>
      </c>
      <c r="BJ268" s="9" t="s">
        <v>17</v>
      </c>
      <c r="BK268" s="91">
        <f>ROUND($L$268*$K$268,2)</f>
        <v>0</v>
      </c>
      <c r="BL268" s="9" t="s">
        <v>207</v>
      </c>
    </row>
    <row r="269" spans="2:51" s="9" customFormat="1" ht="15.75" customHeight="1">
      <c r="B269" s="117"/>
      <c r="E269" s="118"/>
      <c r="F269" s="183" t="s">
        <v>305</v>
      </c>
      <c r="G269" s="183"/>
      <c r="H269" s="183"/>
      <c r="I269" s="183"/>
      <c r="K269" s="119">
        <v>62.15</v>
      </c>
      <c r="R269" s="120"/>
      <c r="T269" s="121"/>
      <c r="AA269" s="122"/>
      <c r="AT269" s="118" t="s">
        <v>137</v>
      </c>
      <c r="AU269" s="118" t="s">
        <v>90</v>
      </c>
      <c r="AV269" s="118" t="s">
        <v>90</v>
      </c>
      <c r="AW269" s="118" t="s">
        <v>98</v>
      </c>
      <c r="AX269" s="118" t="s">
        <v>17</v>
      </c>
      <c r="AY269" s="118" t="s">
        <v>130</v>
      </c>
    </row>
    <row r="270" spans="2:64" s="9" customFormat="1" ht="27" customHeight="1">
      <c r="B270" s="21"/>
      <c r="C270" s="110" t="s">
        <v>316</v>
      </c>
      <c r="D270" s="110" t="s">
        <v>131</v>
      </c>
      <c r="E270" s="111" t="s">
        <v>317</v>
      </c>
      <c r="F270" s="181" t="s">
        <v>318</v>
      </c>
      <c r="G270" s="181"/>
      <c r="H270" s="181"/>
      <c r="I270" s="181"/>
      <c r="J270" s="112" t="s">
        <v>134</v>
      </c>
      <c r="K270" s="113">
        <v>54</v>
      </c>
      <c r="L270" s="182"/>
      <c r="M270" s="182"/>
      <c r="N270" s="182">
        <f>ROUND($L$270*$K$270,2)</f>
        <v>0</v>
      </c>
      <c r="O270" s="182"/>
      <c r="P270" s="182"/>
      <c r="Q270" s="182"/>
      <c r="R270" s="22"/>
      <c r="T270" s="114"/>
      <c r="U270" s="27" t="s">
        <v>38</v>
      </c>
      <c r="V270" s="115">
        <v>0.452</v>
      </c>
      <c r="W270" s="115">
        <f>$V$270*$K$270</f>
        <v>24.408</v>
      </c>
      <c r="X270" s="115">
        <v>0.00283</v>
      </c>
      <c r="Y270" s="115">
        <f>$X$270*$K$270</f>
        <v>0.15282</v>
      </c>
      <c r="Z270" s="115">
        <v>0</v>
      </c>
      <c r="AA270" s="116">
        <f>$Z$270*$K$270</f>
        <v>0</v>
      </c>
      <c r="AR270" s="9" t="s">
        <v>207</v>
      </c>
      <c r="AT270" s="9" t="s">
        <v>131</v>
      </c>
      <c r="AU270" s="9" t="s">
        <v>90</v>
      </c>
      <c r="AY270" s="9" t="s">
        <v>130</v>
      </c>
      <c r="BE270" s="91">
        <f>IF($U$270="základní",$N$270,0)</f>
        <v>0</v>
      </c>
      <c r="BF270" s="91">
        <f>IF($U$270="snížená",$N$270,0)</f>
        <v>0</v>
      </c>
      <c r="BG270" s="91">
        <f>IF($U$270="zákl. přenesená",$N$270,0)</f>
        <v>0</v>
      </c>
      <c r="BH270" s="91">
        <f>IF($U$270="sníž. přenesená",$N$270,0)</f>
        <v>0</v>
      </c>
      <c r="BI270" s="91">
        <f>IF($U$270="nulová",$N$270,0)</f>
        <v>0</v>
      </c>
      <c r="BJ270" s="9" t="s">
        <v>17</v>
      </c>
      <c r="BK270" s="91">
        <f>ROUND($L$270*$K$270,2)</f>
        <v>0</v>
      </c>
      <c r="BL270" s="9" t="s">
        <v>207</v>
      </c>
    </row>
    <row r="271" spans="2:51" s="9" customFormat="1" ht="15.75" customHeight="1">
      <c r="B271" s="117"/>
      <c r="E271" s="118"/>
      <c r="F271" s="183" t="s">
        <v>319</v>
      </c>
      <c r="G271" s="183"/>
      <c r="H271" s="183"/>
      <c r="I271" s="183"/>
      <c r="K271" s="119">
        <v>54</v>
      </c>
      <c r="R271" s="120"/>
      <c r="T271" s="121"/>
      <c r="AA271" s="122"/>
      <c r="AT271" s="118" t="s">
        <v>137</v>
      </c>
      <c r="AU271" s="118" t="s">
        <v>90</v>
      </c>
      <c r="AV271" s="118" t="s">
        <v>90</v>
      </c>
      <c r="AW271" s="118" t="s">
        <v>98</v>
      </c>
      <c r="AX271" s="118" t="s">
        <v>17</v>
      </c>
      <c r="AY271" s="118" t="s">
        <v>130</v>
      </c>
    </row>
    <row r="272" spans="2:64" s="9" customFormat="1" ht="27" customHeight="1">
      <c r="B272" s="21"/>
      <c r="C272" s="110" t="s">
        <v>320</v>
      </c>
      <c r="D272" s="110" t="s">
        <v>131</v>
      </c>
      <c r="E272" s="111" t="s">
        <v>321</v>
      </c>
      <c r="F272" s="181" t="s">
        <v>322</v>
      </c>
      <c r="G272" s="181"/>
      <c r="H272" s="181"/>
      <c r="I272" s="181"/>
      <c r="J272" s="112" t="s">
        <v>134</v>
      </c>
      <c r="K272" s="113">
        <v>54</v>
      </c>
      <c r="L272" s="182"/>
      <c r="M272" s="182"/>
      <c r="N272" s="182">
        <f>ROUND($L$272*$K$272,2)</f>
        <v>0</v>
      </c>
      <c r="O272" s="182"/>
      <c r="P272" s="182"/>
      <c r="Q272" s="182"/>
      <c r="R272" s="22"/>
      <c r="T272" s="114"/>
      <c r="U272" s="27" t="s">
        <v>38</v>
      </c>
      <c r="V272" s="115">
        <v>0.06</v>
      </c>
      <c r="W272" s="115">
        <f>$V$272*$K$272</f>
        <v>3.2399999999999998</v>
      </c>
      <c r="X272" s="115">
        <v>0</v>
      </c>
      <c r="Y272" s="115">
        <f>$X$272*$K$272</f>
        <v>0</v>
      </c>
      <c r="Z272" s="115">
        <v>0.00285</v>
      </c>
      <c r="AA272" s="116">
        <f>$Z$272*$K$272</f>
        <v>0.1539</v>
      </c>
      <c r="AR272" s="9" t="s">
        <v>207</v>
      </c>
      <c r="AT272" s="9" t="s">
        <v>131</v>
      </c>
      <c r="AU272" s="9" t="s">
        <v>90</v>
      </c>
      <c r="AY272" s="9" t="s">
        <v>130</v>
      </c>
      <c r="BE272" s="91">
        <f>IF($U$272="základní",$N$272,0)</f>
        <v>0</v>
      </c>
      <c r="BF272" s="91">
        <f>IF($U$272="snížená",$N$272,0)</f>
        <v>0</v>
      </c>
      <c r="BG272" s="91">
        <f>IF($U$272="zákl. přenesená",$N$272,0)</f>
        <v>0</v>
      </c>
      <c r="BH272" s="91">
        <f>IF($U$272="sníž. přenesená",$N$272,0)</f>
        <v>0</v>
      </c>
      <c r="BI272" s="91">
        <f>IF($U$272="nulová",$N$272,0)</f>
        <v>0</v>
      </c>
      <c r="BJ272" s="9" t="s">
        <v>17</v>
      </c>
      <c r="BK272" s="91">
        <f>ROUND($L$272*$K$272,2)</f>
        <v>0</v>
      </c>
      <c r="BL272" s="9" t="s">
        <v>207</v>
      </c>
    </row>
    <row r="273" spans="2:51" s="9" customFormat="1" ht="15.75" customHeight="1">
      <c r="B273" s="117"/>
      <c r="E273" s="118"/>
      <c r="F273" s="183" t="s">
        <v>319</v>
      </c>
      <c r="G273" s="183"/>
      <c r="H273" s="183"/>
      <c r="I273" s="183"/>
      <c r="K273" s="119">
        <v>54</v>
      </c>
      <c r="R273" s="120"/>
      <c r="T273" s="121"/>
      <c r="AA273" s="122"/>
      <c r="AT273" s="118" t="s">
        <v>137</v>
      </c>
      <c r="AU273" s="118" t="s">
        <v>90</v>
      </c>
      <c r="AV273" s="118" t="s">
        <v>90</v>
      </c>
      <c r="AW273" s="118" t="s">
        <v>98</v>
      </c>
      <c r="AX273" s="118" t="s">
        <v>17</v>
      </c>
      <c r="AY273" s="118" t="s">
        <v>130</v>
      </c>
    </row>
    <row r="274" spans="2:64" s="9" customFormat="1" ht="27" customHeight="1">
      <c r="B274" s="21"/>
      <c r="C274" s="110" t="s">
        <v>323</v>
      </c>
      <c r="D274" s="110" t="s">
        <v>131</v>
      </c>
      <c r="E274" s="111" t="s">
        <v>324</v>
      </c>
      <c r="F274" s="181" t="s">
        <v>325</v>
      </c>
      <c r="G274" s="181"/>
      <c r="H274" s="181"/>
      <c r="I274" s="181"/>
      <c r="J274" s="112" t="s">
        <v>134</v>
      </c>
      <c r="K274" s="113">
        <v>54</v>
      </c>
      <c r="L274" s="182"/>
      <c r="M274" s="182"/>
      <c r="N274" s="182">
        <f>ROUND($L$274*$K$274,2)</f>
        <v>0</v>
      </c>
      <c r="O274" s="182"/>
      <c r="P274" s="182"/>
      <c r="Q274" s="182"/>
      <c r="R274" s="22"/>
      <c r="T274" s="114"/>
      <c r="U274" s="27" t="s">
        <v>38</v>
      </c>
      <c r="V274" s="115">
        <v>0.16</v>
      </c>
      <c r="W274" s="115">
        <f>$V$274*$K$274</f>
        <v>8.64</v>
      </c>
      <c r="X274" s="115">
        <v>0.00017</v>
      </c>
      <c r="Y274" s="115">
        <f>$X$274*$K$274</f>
        <v>0.00918</v>
      </c>
      <c r="Z274" s="115">
        <v>0</v>
      </c>
      <c r="AA274" s="116">
        <f>$Z$274*$K$274</f>
        <v>0</v>
      </c>
      <c r="AR274" s="9" t="s">
        <v>207</v>
      </c>
      <c r="AT274" s="9" t="s">
        <v>131</v>
      </c>
      <c r="AU274" s="9" t="s">
        <v>90</v>
      </c>
      <c r="AY274" s="9" t="s">
        <v>130</v>
      </c>
      <c r="BE274" s="91">
        <f>IF($U$274="základní",$N$274,0)</f>
        <v>0</v>
      </c>
      <c r="BF274" s="91">
        <f>IF($U$274="snížená",$N$274,0)</f>
        <v>0</v>
      </c>
      <c r="BG274" s="91">
        <f>IF($U$274="zákl. přenesená",$N$274,0)</f>
        <v>0</v>
      </c>
      <c r="BH274" s="91">
        <f>IF($U$274="sníž. přenesená",$N$274,0)</f>
        <v>0</v>
      </c>
      <c r="BI274" s="91">
        <f>IF($U$274="nulová",$N$274,0)</f>
        <v>0</v>
      </c>
      <c r="BJ274" s="9" t="s">
        <v>17</v>
      </c>
      <c r="BK274" s="91">
        <f>ROUND($L$274*$K$274,2)</f>
        <v>0</v>
      </c>
      <c r="BL274" s="9" t="s">
        <v>207</v>
      </c>
    </row>
    <row r="275" spans="2:51" s="9" customFormat="1" ht="15.75" customHeight="1">
      <c r="B275" s="117"/>
      <c r="E275" s="118"/>
      <c r="F275" s="183" t="s">
        <v>319</v>
      </c>
      <c r="G275" s="183"/>
      <c r="H275" s="183"/>
      <c r="I275" s="183"/>
      <c r="K275" s="119">
        <v>54</v>
      </c>
      <c r="R275" s="120"/>
      <c r="T275" s="121"/>
      <c r="AA275" s="122"/>
      <c r="AT275" s="118" t="s">
        <v>137</v>
      </c>
      <c r="AU275" s="118" t="s">
        <v>90</v>
      </c>
      <c r="AV275" s="118" t="s">
        <v>90</v>
      </c>
      <c r="AW275" s="118" t="s">
        <v>98</v>
      </c>
      <c r="AX275" s="118" t="s">
        <v>17</v>
      </c>
      <c r="AY275" s="118" t="s">
        <v>130</v>
      </c>
    </row>
    <row r="276" spans="2:64" s="9" customFormat="1" ht="27" customHeight="1">
      <c r="B276" s="21"/>
      <c r="C276" s="110" t="s">
        <v>326</v>
      </c>
      <c r="D276" s="110" t="s">
        <v>131</v>
      </c>
      <c r="E276" s="111" t="s">
        <v>327</v>
      </c>
      <c r="F276" s="181" t="s">
        <v>328</v>
      </c>
      <c r="G276" s="181"/>
      <c r="H276" s="181"/>
      <c r="I276" s="181"/>
      <c r="J276" s="112" t="s">
        <v>246</v>
      </c>
      <c r="K276" s="113">
        <v>1.668</v>
      </c>
      <c r="L276" s="182"/>
      <c r="M276" s="182"/>
      <c r="N276" s="182">
        <f>ROUND($L$276*$K$276,2)</f>
        <v>0</v>
      </c>
      <c r="O276" s="182"/>
      <c r="P276" s="182"/>
      <c r="Q276" s="182"/>
      <c r="R276" s="22"/>
      <c r="T276" s="114"/>
      <c r="U276" s="27" t="s">
        <v>38</v>
      </c>
      <c r="V276" s="115">
        <v>4.947</v>
      </c>
      <c r="W276" s="115">
        <f>$V$276*$K$276</f>
        <v>8.251596</v>
      </c>
      <c r="X276" s="115">
        <v>0</v>
      </c>
      <c r="Y276" s="115">
        <f>$X$276*$K$276</f>
        <v>0</v>
      </c>
      <c r="Z276" s="115">
        <v>0</v>
      </c>
      <c r="AA276" s="116">
        <f>$Z$276*$K$276</f>
        <v>0</v>
      </c>
      <c r="AR276" s="9" t="s">
        <v>207</v>
      </c>
      <c r="AT276" s="9" t="s">
        <v>131</v>
      </c>
      <c r="AU276" s="9" t="s">
        <v>90</v>
      </c>
      <c r="AY276" s="9" t="s">
        <v>130</v>
      </c>
      <c r="BE276" s="91">
        <f>IF($U$276="základní",$N$276,0)</f>
        <v>0</v>
      </c>
      <c r="BF276" s="91">
        <f>IF($U$276="snížená",$N$276,0)</f>
        <v>0</v>
      </c>
      <c r="BG276" s="91">
        <f>IF($U$276="zákl. přenesená",$N$276,0)</f>
        <v>0</v>
      </c>
      <c r="BH276" s="91">
        <f>IF($U$276="sníž. přenesená",$N$276,0)</f>
        <v>0</v>
      </c>
      <c r="BI276" s="91">
        <f>IF($U$276="nulová",$N$276,0)</f>
        <v>0</v>
      </c>
      <c r="BJ276" s="9" t="s">
        <v>17</v>
      </c>
      <c r="BK276" s="91">
        <f>ROUND($L$276*$K$276,2)</f>
        <v>0</v>
      </c>
      <c r="BL276" s="9" t="s">
        <v>207</v>
      </c>
    </row>
    <row r="277" spans="2:63" s="100" customFormat="1" ht="30.75" customHeight="1">
      <c r="B277" s="101"/>
      <c r="D277" s="109" t="s">
        <v>110</v>
      </c>
      <c r="N277" s="180">
        <f>SUM(N278:N287)</f>
        <v>0</v>
      </c>
      <c r="O277" s="180"/>
      <c r="P277" s="180"/>
      <c r="Q277" s="180"/>
      <c r="R277" s="103"/>
      <c r="T277" s="104"/>
      <c r="W277" s="105">
        <f>SUM($W$278:$W$288)</f>
        <v>11.174052</v>
      </c>
      <c r="Y277" s="105">
        <f>SUM($Y$278:$Y$288)</f>
        <v>0.0006287</v>
      </c>
      <c r="AA277" s="106">
        <f>SUM($AA$278:$AA$288)</f>
        <v>0.13316599999999998</v>
      </c>
      <c r="AR277" s="107" t="s">
        <v>90</v>
      </c>
      <c r="AT277" s="107" t="s">
        <v>72</v>
      </c>
      <c r="AU277" s="107" t="s">
        <v>17</v>
      </c>
      <c r="AY277" s="107" t="s">
        <v>130</v>
      </c>
      <c r="BK277" s="108">
        <f>SUM($BK$278:$BK$288)</f>
        <v>0</v>
      </c>
    </row>
    <row r="278" spans="2:64" s="9" customFormat="1" ht="15.75" customHeight="1">
      <c r="B278" s="21"/>
      <c r="C278" s="110" t="s">
        <v>329</v>
      </c>
      <c r="D278" s="110" t="s">
        <v>131</v>
      </c>
      <c r="E278" s="111" t="s">
        <v>330</v>
      </c>
      <c r="F278" s="181" t="s">
        <v>331</v>
      </c>
      <c r="G278" s="181"/>
      <c r="H278" s="181"/>
      <c r="I278" s="181"/>
      <c r="J278" s="112" t="s">
        <v>140</v>
      </c>
      <c r="K278" s="113">
        <v>6.287</v>
      </c>
      <c r="L278" s="182"/>
      <c r="M278" s="182"/>
      <c r="N278" s="182">
        <f>ROUND($L$278*$K$278,2)</f>
        <v>0</v>
      </c>
      <c r="O278" s="182"/>
      <c r="P278" s="182"/>
      <c r="Q278" s="182"/>
      <c r="R278" s="22"/>
      <c r="T278" s="114"/>
      <c r="U278" s="27" t="s">
        <v>38</v>
      </c>
      <c r="V278" s="115">
        <v>0.888</v>
      </c>
      <c r="W278" s="115">
        <f>$V$278*$K$278</f>
        <v>5.582856</v>
      </c>
      <c r="X278" s="115">
        <v>0</v>
      </c>
      <c r="Y278" s="115">
        <f>$X$278*$K$278</f>
        <v>0</v>
      </c>
      <c r="Z278" s="115">
        <v>0.018</v>
      </c>
      <c r="AA278" s="116">
        <f>$Z$278*$K$278</f>
        <v>0.11316599999999999</v>
      </c>
      <c r="AR278" s="9" t="s">
        <v>207</v>
      </c>
      <c r="AT278" s="9" t="s">
        <v>131</v>
      </c>
      <c r="AU278" s="9" t="s">
        <v>90</v>
      </c>
      <c r="AY278" s="9" t="s">
        <v>130</v>
      </c>
      <c r="BE278" s="91">
        <f>IF($U$278="základní",$N$278,0)</f>
        <v>0</v>
      </c>
      <c r="BF278" s="91">
        <f>IF($U$278="snížená",$N$278,0)</f>
        <v>0</v>
      </c>
      <c r="BG278" s="91">
        <f>IF($U$278="zákl. přenesená",$N$278,0)</f>
        <v>0</v>
      </c>
      <c r="BH278" s="91">
        <f>IF($U$278="sníž. přenesená",$N$278,0)</f>
        <v>0</v>
      </c>
      <c r="BI278" s="91">
        <f>IF($U$278="nulová",$N$278,0)</f>
        <v>0</v>
      </c>
      <c r="BJ278" s="9" t="s">
        <v>17</v>
      </c>
      <c r="BK278" s="91">
        <f>ROUND($L$278*$K$278,2)</f>
        <v>0</v>
      </c>
      <c r="BL278" s="9" t="s">
        <v>207</v>
      </c>
    </row>
    <row r="279" spans="2:51" s="9" customFormat="1" ht="15.75" customHeight="1">
      <c r="B279" s="117"/>
      <c r="E279" s="118"/>
      <c r="F279" s="183" t="s">
        <v>332</v>
      </c>
      <c r="G279" s="183"/>
      <c r="H279" s="183"/>
      <c r="I279" s="183"/>
      <c r="K279" s="119">
        <v>1.9889999999999999</v>
      </c>
      <c r="R279" s="120"/>
      <c r="T279" s="121"/>
      <c r="AA279" s="122"/>
      <c r="AT279" s="118" t="s">
        <v>137</v>
      </c>
      <c r="AU279" s="118" t="s">
        <v>90</v>
      </c>
      <c r="AV279" s="118" t="s">
        <v>90</v>
      </c>
      <c r="AW279" s="118" t="s">
        <v>98</v>
      </c>
      <c r="AX279" s="118" t="s">
        <v>73</v>
      </c>
      <c r="AY279" s="118" t="s">
        <v>130</v>
      </c>
    </row>
    <row r="280" spans="2:51" s="9" customFormat="1" ht="15.75" customHeight="1">
      <c r="B280" s="117"/>
      <c r="E280" s="118"/>
      <c r="F280" s="183" t="s">
        <v>333</v>
      </c>
      <c r="G280" s="183"/>
      <c r="H280" s="183"/>
      <c r="I280" s="183"/>
      <c r="K280" s="119">
        <v>4.298</v>
      </c>
      <c r="R280" s="120"/>
      <c r="T280" s="121"/>
      <c r="AA280" s="122"/>
      <c r="AT280" s="118"/>
      <c r="AU280" s="118"/>
      <c r="AV280" s="118"/>
      <c r="AW280" s="118"/>
      <c r="AX280" s="118"/>
      <c r="AY280" s="118"/>
    </row>
    <row r="281" spans="2:51" s="9" customFormat="1" ht="15.75" customHeight="1">
      <c r="B281" s="129"/>
      <c r="E281" s="130"/>
      <c r="F281" s="187" t="s">
        <v>147</v>
      </c>
      <c r="G281" s="187"/>
      <c r="H281" s="187"/>
      <c r="I281" s="187"/>
      <c r="K281" s="132">
        <v>6.287</v>
      </c>
      <c r="R281" s="133"/>
      <c r="T281" s="134"/>
      <c r="AA281" s="135"/>
      <c r="AT281" s="130" t="s">
        <v>137</v>
      </c>
      <c r="AU281" s="130" t="s">
        <v>90</v>
      </c>
      <c r="AV281" s="130" t="s">
        <v>135</v>
      </c>
      <c r="AW281" s="130" t="s">
        <v>98</v>
      </c>
      <c r="AX281" s="130" t="s">
        <v>17</v>
      </c>
      <c r="AY281" s="130" t="s">
        <v>130</v>
      </c>
    </row>
    <row r="282" spans="2:64" s="9" customFormat="1" ht="15.75" customHeight="1">
      <c r="B282" s="21"/>
      <c r="C282" s="110" t="s">
        <v>334</v>
      </c>
      <c r="D282" s="110" t="s">
        <v>131</v>
      </c>
      <c r="E282" s="111" t="s">
        <v>335</v>
      </c>
      <c r="F282" s="181" t="s">
        <v>336</v>
      </c>
      <c r="G282" s="181"/>
      <c r="H282" s="181"/>
      <c r="I282" s="181"/>
      <c r="J282" s="112" t="s">
        <v>140</v>
      </c>
      <c r="K282" s="113">
        <v>6.287</v>
      </c>
      <c r="L282" s="182"/>
      <c r="M282" s="182"/>
      <c r="N282" s="182">
        <f>ROUND($L$282*$K$282,2)</f>
        <v>0</v>
      </c>
      <c r="O282" s="182"/>
      <c r="P282" s="182"/>
      <c r="Q282" s="182"/>
      <c r="R282" s="22"/>
      <c r="T282" s="114"/>
      <c r="U282" s="27" t="s">
        <v>38</v>
      </c>
      <c r="V282" s="115">
        <v>0</v>
      </c>
      <c r="W282" s="115">
        <f>$V$282*$K$282</f>
        <v>0</v>
      </c>
      <c r="X282" s="115">
        <v>0</v>
      </c>
      <c r="Y282" s="115">
        <f>$X$282*$K$282</f>
        <v>0</v>
      </c>
      <c r="Z282" s="115">
        <v>0</v>
      </c>
      <c r="AA282" s="116">
        <f>$Z$282*$K$282</f>
        <v>0</v>
      </c>
      <c r="AR282" s="9" t="s">
        <v>207</v>
      </c>
      <c r="AT282" s="9" t="s">
        <v>131</v>
      </c>
      <c r="AU282" s="9" t="s">
        <v>90</v>
      </c>
      <c r="AY282" s="9" t="s">
        <v>130</v>
      </c>
      <c r="BE282" s="91">
        <f>IF($U$282="základní",$N$282,0)</f>
        <v>0</v>
      </c>
      <c r="BF282" s="91">
        <f>IF($U$282="snížená",$N$282,0)</f>
        <v>0</v>
      </c>
      <c r="BG282" s="91">
        <f>IF($U$282="zákl. přenesená",$N$282,0)</f>
        <v>0</v>
      </c>
      <c r="BH282" s="91">
        <f>IF($U$282="sníž. přenesená",$N$282,0)</f>
        <v>0</v>
      </c>
      <c r="BI282" s="91">
        <f>IF($U$282="nulová",$N$282,0)</f>
        <v>0</v>
      </c>
      <c r="BJ282" s="9" t="s">
        <v>17</v>
      </c>
      <c r="BK282" s="91">
        <f>ROUND($L$282*$K$282,2)</f>
        <v>0</v>
      </c>
      <c r="BL282" s="9" t="s">
        <v>207</v>
      </c>
    </row>
    <row r="283" spans="2:64" s="9" customFormat="1" ht="15.75" customHeight="1">
      <c r="B283" s="21"/>
      <c r="C283" s="110" t="s">
        <v>337</v>
      </c>
      <c r="D283" s="110" t="s">
        <v>131</v>
      </c>
      <c r="E283" s="111" t="s">
        <v>338</v>
      </c>
      <c r="F283" s="181" t="s">
        <v>339</v>
      </c>
      <c r="G283" s="181"/>
      <c r="H283" s="181"/>
      <c r="I283" s="181"/>
      <c r="J283" s="112" t="s">
        <v>140</v>
      </c>
      <c r="K283" s="113">
        <v>6.287</v>
      </c>
      <c r="L283" s="182"/>
      <c r="M283" s="182"/>
      <c r="N283" s="182">
        <f>ROUND($L$283*$K$283,2)</f>
        <v>0</v>
      </c>
      <c r="O283" s="182"/>
      <c r="P283" s="182"/>
      <c r="Q283" s="182"/>
      <c r="R283" s="22"/>
      <c r="T283" s="114"/>
      <c r="U283" s="27" t="s">
        <v>38</v>
      </c>
      <c r="V283" s="115">
        <v>0.708</v>
      </c>
      <c r="W283" s="115">
        <f>$V$283*$K$283</f>
        <v>4.4511959999999995</v>
      </c>
      <c r="X283" s="115">
        <v>0.0001</v>
      </c>
      <c r="Y283" s="115">
        <f>$X$283*$K$283</f>
        <v>0.0006287</v>
      </c>
      <c r="Z283" s="115">
        <v>0</v>
      </c>
      <c r="AA283" s="116">
        <f>$Z$283*$K$283</f>
        <v>0</v>
      </c>
      <c r="AR283" s="9" t="s">
        <v>207</v>
      </c>
      <c r="AT283" s="9" t="s">
        <v>131</v>
      </c>
      <c r="AU283" s="9" t="s">
        <v>90</v>
      </c>
      <c r="AY283" s="9" t="s">
        <v>130</v>
      </c>
      <c r="BE283" s="91">
        <f>IF($U$283="základní",$N$283,0)</f>
        <v>0</v>
      </c>
      <c r="BF283" s="91">
        <f>IF($U$283="snížená",$N$283,0)</f>
        <v>0</v>
      </c>
      <c r="BG283" s="91">
        <f>IF($U$283="zákl. přenesená",$N$283,0)</f>
        <v>0</v>
      </c>
      <c r="BH283" s="91">
        <f>IF($U$283="sníž. přenesená",$N$283,0)</f>
        <v>0</v>
      </c>
      <c r="BI283" s="91">
        <f>IF($U$283="nulová",$N$283,0)</f>
        <v>0</v>
      </c>
      <c r="BJ283" s="9" t="s">
        <v>17</v>
      </c>
      <c r="BK283" s="91">
        <f>ROUND($L$283*$K$283,2)</f>
        <v>0</v>
      </c>
      <c r="BL283" s="9" t="s">
        <v>207</v>
      </c>
    </row>
    <row r="284" spans="2:51" s="9" customFormat="1" ht="15.75" customHeight="1">
      <c r="B284" s="117"/>
      <c r="E284" s="118"/>
      <c r="F284" s="183" t="s">
        <v>332</v>
      </c>
      <c r="G284" s="183"/>
      <c r="H284" s="183"/>
      <c r="I284" s="183"/>
      <c r="K284" s="119">
        <v>1.9889999999999999</v>
      </c>
      <c r="R284" s="120"/>
      <c r="T284" s="121"/>
      <c r="AA284" s="122"/>
      <c r="AT284" s="118" t="s">
        <v>137</v>
      </c>
      <c r="AU284" s="118" t="s">
        <v>90</v>
      </c>
      <c r="AV284" s="118" t="s">
        <v>90</v>
      </c>
      <c r="AW284" s="118" t="s">
        <v>98</v>
      </c>
      <c r="AX284" s="118" t="s">
        <v>73</v>
      </c>
      <c r="AY284" s="118" t="s">
        <v>130</v>
      </c>
    </row>
    <row r="285" spans="2:51" s="9" customFormat="1" ht="15.75" customHeight="1">
      <c r="B285" s="117"/>
      <c r="E285" s="118"/>
      <c r="F285" s="183" t="s">
        <v>333</v>
      </c>
      <c r="G285" s="183"/>
      <c r="H285" s="183"/>
      <c r="I285" s="183"/>
      <c r="K285" s="119">
        <v>4.298</v>
      </c>
      <c r="R285" s="120"/>
      <c r="T285" s="121"/>
      <c r="AA285" s="122"/>
      <c r="AT285" s="118" t="s">
        <v>137</v>
      </c>
      <c r="AU285" s="118" t="s">
        <v>90</v>
      </c>
      <c r="AV285" s="118" t="s">
        <v>90</v>
      </c>
      <c r="AW285" s="118" t="s">
        <v>98</v>
      </c>
      <c r="AX285" s="118" t="s">
        <v>73</v>
      </c>
      <c r="AY285" s="118" t="s">
        <v>130</v>
      </c>
    </row>
    <row r="286" spans="2:51" s="9" customFormat="1" ht="15.75" customHeight="1">
      <c r="B286" s="129"/>
      <c r="E286" s="130"/>
      <c r="F286" s="187" t="s">
        <v>147</v>
      </c>
      <c r="G286" s="187"/>
      <c r="H286" s="187"/>
      <c r="I286" s="187"/>
      <c r="K286" s="132">
        <v>6.287</v>
      </c>
      <c r="R286" s="133"/>
      <c r="T286" s="134"/>
      <c r="AA286" s="135"/>
      <c r="AT286" s="130" t="s">
        <v>137</v>
      </c>
      <c r="AU286" s="130" t="s">
        <v>90</v>
      </c>
      <c r="AV286" s="130" t="s">
        <v>135</v>
      </c>
      <c r="AW286" s="130" t="s">
        <v>98</v>
      </c>
      <c r="AX286" s="130" t="s">
        <v>17</v>
      </c>
      <c r="AY286" s="130" t="s">
        <v>130</v>
      </c>
    </row>
    <row r="287" spans="2:64" s="9" customFormat="1" ht="27" customHeight="1">
      <c r="B287" s="21"/>
      <c r="C287" s="110" t="s">
        <v>340</v>
      </c>
      <c r="D287" s="110" t="s">
        <v>131</v>
      </c>
      <c r="E287" s="111" t="s">
        <v>341</v>
      </c>
      <c r="F287" s="181" t="s">
        <v>342</v>
      </c>
      <c r="G287" s="181"/>
      <c r="H287" s="181"/>
      <c r="I287" s="181"/>
      <c r="J287" s="112" t="s">
        <v>343</v>
      </c>
      <c r="K287" s="113">
        <v>20</v>
      </c>
      <c r="L287" s="182"/>
      <c r="M287" s="182"/>
      <c r="N287" s="182">
        <f>ROUND($L$287*$K$287,2)</f>
        <v>0</v>
      </c>
      <c r="O287" s="182"/>
      <c r="P287" s="182"/>
      <c r="Q287" s="182"/>
      <c r="R287" s="22"/>
      <c r="T287" s="114"/>
      <c r="U287" s="27" t="s">
        <v>38</v>
      </c>
      <c r="V287" s="115">
        <v>0.057</v>
      </c>
      <c r="W287" s="115">
        <f>$V$287*$K$287</f>
        <v>1.1400000000000001</v>
      </c>
      <c r="X287" s="115">
        <v>0</v>
      </c>
      <c r="Y287" s="115">
        <f>$X$287*$K$287</f>
        <v>0</v>
      </c>
      <c r="Z287" s="115">
        <v>0.001</v>
      </c>
      <c r="AA287" s="116">
        <f>$Z$287*$K$287</f>
        <v>0.02</v>
      </c>
      <c r="AR287" s="9" t="s">
        <v>207</v>
      </c>
      <c r="AT287" s="9" t="s">
        <v>131</v>
      </c>
      <c r="AU287" s="9" t="s">
        <v>90</v>
      </c>
      <c r="AY287" s="9" t="s">
        <v>130</v>
      </c>
      <c r="BE287" s="91">
        <f>IF($U$287="základní",$N$287,0)</f>
        <v>0</v>
      </c>
      <c r="BF287" s="91">
        <f>IF($U$287="snížená",$N$287,0)</f>
        <v>0</v>
      </c>
      <c r="BG287" s="91">
        <f>IF($U$287="zákl. přenesená",$N$287,0)</f>
        <v>0</v>
      </c>
      <c r="BH287" s="91">
        <f>IF($U$287="sníž. přenesená",$N$287,0)</f>
        <v>0</v>
      </c>
      <c r="BI287" s="91">
        <f>IF($U$287="nulová",$N$287,0)</f>
        <v>0</v>
      </c>
      <c r="BJ287" s="9" t="s">
        <v>17</v>
      </c>
      <c r="BK287" s="91">
        <f>ROUND($L$287*$K$287,2)</f>
        <v>0</v>
      </c>
      <c r="BL287" s="9" t="s">
        <v>207</v>
      </c>
    </row>
    <row r="288" spans="2:51" s="9" customFormat="1" ht="27" customHeight="1">
      <c r="B288" s="117"/>
      <c r="E288" s="118"/>
      <c r="F288" s="183" t="s">
        <v>344</v>
      </c>
      <c r="G288" s="183"/>
      <c r="H288" s="183"/>
      <c r="I288" s="183"/>
      <c r="K288" s="119">
        <v>20</v>
      </c>
      <c r="R288" s="120"/>
      <c r="T288" s="121"/>
      <c r="AA288" s="122"/>
      <c r="AT288" s="118" t="s">
        <v>137</v>
      </c>
      <c r="AU288" s="118" t="s">
        <v>90</v>
      </c>
      <c r="AV288" s="118" t="s">
        <v>90</v>
      </c>
      <c r="AW288" s="118" t="s">
        <v>98</v>
      </c>
      <c r="AX288" s="118" t="s">
        <v>17</v>
      </c>
      <c r="AY288" s="118" t="s">
        <v>130</v>
      </c>
    </row>
    <row r="289" spans="2:63" s="100" customFormat="1" ht="30.75" customHeight="1">
      <c r="B289" s="101"/>
      <c r="D289" s="109" t="s">
        <v>111</v>
      </c>
      <c r="N289" s="180">
        <f>SUM(N290:N296)</f>
        <v>0</v>
      </c>
      <c r="O289" s="180"/>
      <c r="P289" s="180"/>
      <c r="Q289" s="180"/>
      <c r="R289" s="103"/>
      <c r="T289" s="104"/>
      <c r="W289" s="105">
        <f>SUM($W$290:$W$296)</f>
        <v>92.764518</v>
      </c>
      <c r="Y289" s="105">
        <f>SUM($Y$290:$Y$296)</f>
        <v>1.1543839999999999</v>
      </c>
      <c r="AA289" s="106">
        <f>SUM($AA$290:$AA$296)</f>
        <v>2.6026000000000002</v>
      </c>
      <c r="AR289" s="107" t="s">
        <v>90</v>
      </c>
      <c r="AT289" s="107" t="s">
        <v>72</v>
      </c>
      <c r="AU289" s="107" t="s">
        <v>17</v>
      </c>
      <c r="AY289" s="107" t="s">
        <v>130</v>
      </c>
      <c r="BK289" s="108">
        <f>SUM($BK$290:$BK$296)</f>
        <v>0</v>
      </c>
    </row>
    <row r="290" spans="2:64" s="9" customFormat="1" ht="27" customHeight="1">
      <c r="B290" s="21"/>
      <c r="C290" s="110" t="s">
        <v>152</v>
      </c>
      <c r="D290" s="110" t="s">
        <v>131</v>
      </c>
      <c r="E290" s="111" t="s">
        <v>345</v>
      </c>
      <c r="F290" s="181" t="s">
        <v>346</v>
      </c>
      <c r="G290" s="181"/>
      <c r="H290" s="181"/>
      <c r="I290" s="181"/>
      <c r="J290" s="112" t="s">
        <v>140</v>
      </c>
      <c r="K290" s="113">
        <v>15.4</v>
      </c>
      <c r="L290" s="182"/>
      <c r="M290" s="182"/>
      <c r="N290" s="182">
        <f>ROUND($L$290*$K$290,2)</f>
        <v>0</v>
      </c>
      <c r="O290" s="182"/>
      <c r="P290" s="182"/>
      <c r="Q290" s="182"/>
      <c r="R290" s="22"/>
      <c r="T290" s="114"/>
      <c r="U290" s="27" t="s">
        <v>38</v>
      </c>
      <c r="V290" s="115">
        <v>0.82</v>
      </c>
      <c r="W290" s="115">
        <f>$V$290*$K$290</f>
        <v>12.628</v>
      </c>
      <c r="X290" s="115">
        <v>0</v>
      </c>
      <c r="Y290" s="115">
        <f>$X$290*$K$290</f>
        <v>0</v>
      </c>
      <c r="Z290" s="115">
        <v>0.169</v>
      </c>
      <c r="AA290" s="116">
        <f>$Z$290*$K$290</f>
        <v>2.6026000000000002</v>
      </c>
      <c r="AR290" s="9" t="s">
        <v>135</v>
      </c>
      <c r="AT290" s="9" t="s">
        <v>131</v>
      </c>
      <c r="AU290" s="9" t="s">
        <v>90</v>
      </c>
      <c r="AY290" s="9" t="s">
        <v>130</v>
      </c>
      <c r="BE290" s="91">
        <f>IF($U$290="základní",$N$290,0)</f>
        <v>0</v>
      </c>
      <c r="BF290" s="91">
        <f>IF($U$290="snížená",$N$290,0)</f>
        <v>0</v>
      </c>
      <c r="BG290" s="91">
        <f>IF($U$290="zákl. přenesená",$N$290,0)</f>
        <v>0</v>
      </c>
      <c r="BH290" s="91">
        <f>IF($U$290="sníž. přenesená",$N$290,0)</f>
        <v>0</v>
      </c>
      <c r="BI290" s="91">
        <f>IF($U$290="nulová",$N$290,0)</f>
        <v>0</v>
      </c>
      <c r="BJ290" s="9" t="s">
        <v>17</v>
      </c>
      <c r="BK290" s="91">
        <f>ROUND($L$290*$K$290,2)</f>
        <v>0</v>
      </c>
      <c r="BL290" s="9" t="s">
        <v>135</v>
      </c>
    </row>
    <row r="291" spans="2:51" s="9" customFormat="1" ht="15.75" customHeight="1">
      <c r="B291" s="117"/>
      <c r="E291" s="118"/>
      <c r="F291" s="183" t="s">
        <v>242</v>
      </c>
      <c r="G291" s="183"/>
      <c r="H291" s="183"/>
      <c r="I291" s="183"/>
      <c r="K291" s="119">
        <v>15.4</v>
      </c>
      <c r="R291" s="120"/>
      <c r="T291" s="121"/>
      <c r="AA291" s="122"/>
      <c r="AT291" s="118" t="s">
        <v>137</v>
      </c>
      <c r="AU291" s="118" t="s">
        <v>90</v>
      </c>
      <c r="AV291" s="118" t="s">
        <v>90</v>
      </c>
      <c r="AW291" s="118" t="s">
        <v>98</v>
      </c>
      <c r="AX291" s="118" t="s">
        <v>73</v>
      </c>
      <c r="AY291" s="118" t="s">
        <v>130</v>
      </c>
    </row>
    <row r="292" spans="2:64" s="9" customFormat="1" ht="27" customHeight="1">
      <c r="B292" s="21"/>
      <c r="C292" s="110" t="s">
        <v>347</v>
      </c>
      <c r="D292" s="110" t="s">
        <v>131</v>
      </c>
      <c r="E292" s="111" t="s">
        <v>348</v>
      </c>
      <c r="F292" s="181" t="s">
        <v>349</v>
      </c>
      <c r="G292" s="181"/>
      <c r="H292" s="181"/>
      <c r="I292" s="181"/>
      <c r="J292" s="112" t="s">
        <v>140</v>
      </c>
      <c r="K292" s="113">
        <v>15.4</v>
      </c>
      <c r="L292" s="182"/>
      <c r="M292" s="182"/>
      <c r="N292" s="182">
        <f>ROUND($L$292*$K$292,2)</f>
        <v>0</v>
      </c>
      <c r="O292" s="182"/>
      <c r="P292" s="182"/>
      <c r="Q292" s="182"/>
      <c r="R292" s="22"/>
      <c r="T292" s="114"/>
      <c r="U292" s="27" t="s">
        <v>38</v>
      </c>
      <c r="V292" s="115">
        <v>2.502</v>
      </c>
      <c r="W292" s="115">
        <f>$V$292*$K$292</f>
        <v>38.5308</v>
      </c>
      <c r="X292" s="115">
        <v>0.03176</v>
      </c>
      <c r="Y292" s="115">
        <f>$X$292*$K$292</f>
        <v>0.489104</v>
      </c>
      <c r="Z292" s="115">
        <v>0</v>
      </c>
      <c r="AA292" s="116">
        <f>$Z$292*$K$292</f>
        <v>0</v>
      </c>
      <c r="AR292" s="9" t="s">
        <v>207</v>
      </c>
      <c r="AT292" s="9" t="s">
        <v>131</v>
      </c>
      <c r="AU292" s="9" t="s">
        <v>90</v>
      </c>
      <c r="AY292" s="9" t="s">
        <v>130</v>
      </c>
      <c r="BE292" s="91">
        <f>IF($U$292="základní",$N$292,0)</f>
        <v>0</v>
      </c>
      <c r="BF292" s="91">
        <f>IF($U$292="snížená",$N$292,0)</f>
        <v>0</v>
      </c>
      <c r="BG292" s="91">
        <f>IF($U$292="zákl. přenesená",$N$292,0)</f>
        <v>0</v>
      </c>
      <c r="BH292" s="91">
        <f>IF($U$292="sníž. přenesená",$N$292,0)</f>
        <v>0</v>
      </c>
      <c r="BI292" s="91">
        <f>IF($U$292="nulová",$N$292,0)</f>
        <v>0</v>
      </c>
      <c r="BJ292" s="9" t="s">
        <v>17</v>
      </c>
      <c r="BK292" s="91">
        <f>ROUND($L$292*$K$292,2)</f>
        <v>0</v>
      </c>
      <c r="BL292" s="9" t="s">
        <v>207</v>
      </c>
    </row>
    <row r="293" spans="2:51" s="9" customFormat="1" ht="15.75" customHeight="1">
      <c r="B293" s="117"/>
      <c r="E293" s="118"/>
      <c r="F293" s="183" t="s">
        <v>242</v>
      </c>
      <c r="G293" s="183"/>
      <c r="H293" s="183"/>
      <c r="I293" s="183"/>
      <c r="K293" s="119">
        <v>15.4</v>
      </c>
      <c r="R293" s="120"/>
      <c r="T293" s="121"/>
      <c r="AA293" s="122"/>
      <c r="AT293" s="118" t="s">
        <v>137</v>
      </c>
      <c r="AU293" s="118" t="s">
        <v>90</v>
      </c>
      <c r="AV293" s="118" t="s">
        <v>90</v>
      </c>
      <c r="AW293" s="118" t="s">
        <v>98</v>
      </c>
      <c r="AX293" s="118" t="s">
        <v>73</v>
      </c>
      <c r="AY293" s="118" t="s">
        <v>130</v>
      </c>
    </row>
    <row r="294" spans="2:64" s="9" customFormat="1" ht="27" customHeight="1">
      <c r="B294" s="21"/>
      <c r="C294" s="110" t="s">
        <v>350</v>
      </c>
      <c r="D294" s="110" t="s">
        <v>131</v>
      </c>
      <c r="E294" s="111" t="s">
        <v>351</v>
      </c>
      <c r="F294" s="181" t="s">
        <v>352</v>
      </c>
      <c r="G294" s="181"/>
      <c r="H294" s="181"/>
      <c r="I294" s="181"/>
      <c r="J294" s="112" t="s">
        <v>353</v>
      </c>
      <c r="K294" s="113">
        <v>40</v>
      </c>
      <c r="L294" s="182"/>
      <c r="M294" s="182"/>
      <c r="N294" s="182">
        <f>ROUND($L$294*$K$294,2)</f>
        <v>0</v>
      </c>
      <c r="O294" s="182"/>
      <c r="P294" s="182"/>
      <c r="Q294" s="182"/>
      <c r="R294" s="22"/>
      <c r="T294" s="114"/>
      <c r="U294" s="27" t="s">
        <v>38</v>
      </c>
      <c r="V294" s="115">
        <v>1</v>
      </c>
      <c r="W294" s="115">
        <f>$V$294*$K$294</f>
        <v>40</v>
      </c>
      <c r="X294" s="115">
        <v>0</v>
      </c>
      <c r="Y294" s="115">
        <f>$X$294*$K$294</f>
        <v>0</v>
      </c>
      <c r="Z294" s="115">
        <v>0</v>
      </c>
      <c r="AA294" s="116">
        <f>$Z$294*$K$294</f>
        <v>0</v>
      </c>
      <c r="AR294" s="9" t="s">
        <v>354</v>
      </c>
      <c r="AT294" s="9" t="s">
        <v>131</v>
      </c>
      <c r="AU294" s="9" t="s">
        <v>90</v>
      </c>
      <c r="AY294" s="9" t="s">
        <v>130</v>
      </c>
      <c r="BE294" s="91">
        <f>IF($U$294="základní",$N$294,0)</f>
        <v>0</v>
      </c>
      <c r="BF294" s="91">
        <f>IF($U$294="snížená",$N$294,0)</f>
        <v>0</v>
      </c>
      <c r="BG294" s="91">
        <f>IF($U$294="zákl. přenesená",$N$294,0)</f>
        <v>0</v>
      </c>
      <c r="BH294" s="91">
        <f>IF($U$294="sníž. přenesená",$N$294,0)</f>
        <v>0</v>
      </c>
      <c r="BI294" s="91">
        <f>IF($U$294="nulová",$N$294,0)</f>
        <v>0</v>
      </c>
      <c r="BJ294" s="9" t="s">
        <v>17</v>
      </c>
      <c r="BK294" s="91">
        <f>ROUND($L$294*$K$294,2)</f>
        <v>0</v>
      </c>
      <c r="BL294" s="9" t="s">
        <v>354</v>
      </c>
    </row>
    <row r="295" spans="2:64" s="9" customFormat="1" ht="27" customHeight="1">
      <c r="B295" s="21"/>
      <c r="C295" s="141" t="s">
        <v>355</v>
      </c>
      <c r="D295" s="141" t="s">
        <v>270</v>
      </c>
      <c r="E295" s="142" t="s">
        <v>356</v>
      </c>
      <c r="F295" s="189" t="s">
        <v>357</v>
      </c>
      <c r="G295" s="189"/>
      <c r="H295" s="189"/>
      <c r="I295" s="189"/>
      <c r="J295" s="143" t="s">
        <v>140</v>
      </c>
      <c r="K295" s="144">
        <v>9.24</v>
      </c>
      <c r="L295" s="190"/>
      <c r="M295" s="190"/>
      <c r="N295" s="190">
        <f>ROUND($L$295*$K$295,2)</f>
        <v>0</v>
      </c>
      <c r="O295" s="190"/>
      <c r="P295" s="190"/>
      <c r="Q295" s="190"/>
      <c r="R295" s="22"/>
      <c r="T295" s="114"/>
      <c r="U295" s="27" t="s">
        <v>38</v>
      </c>
      <c r="V295" s="115">
        <v>0</v>
      </c>
      <c r="W295" s="115">
        <f>$V$295*$K$295</f>
        <v>0</v>
      </c>
      <c r="X295" s="115">
        <v>0.072</v>
      </c>
      <c r="Y295" s="115">
        <f>$X$295*$K$295</f>
        <v>0.66528</v>
      </c>
      <c r="Z295" s="115">
        <v>0</v>
      </c>
      <c r="AA295" s="116">
        <f>$Z$295*$K$295</f>
        <v>0</v>
      </c>
      <c r="AR295" s="9" t="s">
        <v>266</v>
      </c>
      <c r="AT295" s="9" t="s">
        <v>270</v>
      </c>
      <c r="AU295" s="9" t="s">
        <v>90</v>
      </c>
      <c r="AY295" s="9" t="s">
        <v>130</v>
      </c>
      <c r="BE295" s="91">
        <f>IF($U$295="základní",$N$295,0)</f>
        <v>0</v>
      </c>
      <c r="BF295" s="91">
        <f>IF($U$295="snížená",$N$295,0)</f>
        <v>0</v>
      </c>
      <c r="BG295" s="91">
        <f>IF($U$295="zákl. přenesená",$N$295,0)</f>
        <v>0</v>
      </c>
      <c r="BH295" s="91">
        <f>IF($U$295="sníž. přenesená",$N$295,0)</f>
        <v>0</v>
      </c>
      <c r="BI295" s="91">
        <f>IF($U$295="nulová",$N$295,0)</f>
        <v>0</v>
      </c>
      <c r="BJ295" s="9" t="s">
        <v>17</v>
      </c>
      <c r="BK295" s="91">
        <f>ROUND($L$295*$K$295,2)</f>
        <v>0</v>
      </c>
      <c r="BL295" s="9" t="s">
        <v>207</v>
      </c>
    </row>
    <row r="296" spans="2:64" s="9" customFormat="1" ht="27" customHeight="1">
      <c r="B296" s="21"/>
      <c r="C296" s="110" t="s">
        <v>358</v>
      </c>
      <c r="D296" s="110" t="s">
        <v>131</v>
      </c>
      <c r="E296" s="111" t="s">
        <v>359</v>
      </c>
      <c r="F296" s="181" t="s">
        <v>360</v>
      </c>
      <c r="G296" s="181"/>
      <c r="H296" s="181"/>
      <c r="I296" s="181"/>
      <c r="J296" s="112" t="s">
        <v>246</v>
      </c>
      <c r="K296" s="113">
        <v>1.138</v>
      </c>
      <c r="L296" s="182"/>
      <c r="M296" s="182"/>
      <c r="N296" s="182">
        <f>ROUND($L$296*$K$296,2)</f>
        <v>0</v>
      </c>
      <c r="O296" s="182"/>
      <c r="P296" s="182"/>
      <c r="Q296" s="182"/>
      <c r="R296" s="22"/>
      <c r="T296" s="114"/>
      <c r="U296" s="27" t="s">
        <v>38</v>
      </c>
      <c r="V296" s="115">
        <v>1.411</v>
      </c>
      <c r="W296" s="115">
        <f>$V$296*$K$296</f>
        <v>1.605718</v>
      </c>
      <c r="X296" s="115">
        <v>0</v>
      </c>
      <c r="Y296" s="115">
        <f>$X$296*$K$296</f>
        <v>0</v>
      </c>
      <c r="Z296" s="115">
        <v>0</v>
      </c>
      <c r="AA296" s="116">
        <f>$Z$296*$K$296</f>
        <v>0</v>
      </c>
      <c r="AR296" s="9" t="s">
        <v>207</v>
      </c>
      <c r="AT296" s="9" t="s">
        <v>131</v>
      </c>
      <c r="AU296" s="9" t="s">
        <v>90</v>
      </c>
      <c r="AY296" s="9" t="s">
        <v>130</v>
      </c>
      <c r="BE296" s="91">
        <f>IF($U$296="základní",$N$296,0)</f>
        <v>0</v>
      </c>
      <c r="BF296" s="91">
        <f>IF($U$296="snížená",$N$296,0)</f>
        <v>0</v>
      </c>
      <c r="BG296" s="91">
        <f>IF($U$296="zákl. přenesená",$N$296,0)</f>
        <v>0</v>
      </c>
      <c r="BH296" s="91">
        <f>IF($U$296="sníž. přenesená",$N$296,0)</f>
        <v>0</v>
      </c>
      <c r="BI296" s="91">
        <f>IF($U$296="nulová",$N$296,0)</f>
        <v>0</v>
      </c>
      <c r="BJ296" s="9" t="s">
        <v>17</v>
      </c>
      <c r="BK296" s="91">
        <f>ROUND($L$296*$K$296,2)</f>
        <v>0</v>
      </c>
      <c r="BL296" s="9" t="s">
        <v>207</v>
      </c>
    </row>
    <row r="297" spans="2:63" s="100" customFormat="1" ht="30.75" customHeight="1">
      <c r="B297" s="101"/>
      <c r="D297" s="109" t="s">
        <v>112</v>
      </c>
      <c r="N297" s="180">
        <f>SUM(N298:N300)</f>
        <v>0</v>
      </c>
      <c r="O297" s="180"/>
      <c r="P297" s="180"/>
      <c r="Q297" s="180"/>
      <c r="R297" s="103"/>
      <c r="T297" s="104"/>
      <c r="W297" s="105">
        <f>SUM($W$298:$W$306)</f>
        <v>25.11774</v>
      </c>
      <c r="Y297" s="105">
        <f>SUM($Y$298:$Y$306)</f>
        <v>0.0621572</v>
      </c>
      <c r="AA297" s="106">
        <f>SUM($AA$298:$AA$306)</f>
        <v>0</v>
      </c>
      <c r="AR297" s="107" t="s">
        <v>90</v>
      </c>
      <c r="AT297" s="107" t="s">
        <v>72</v>
      </c>
      <c r="AU297" s="107" t="s">
        <v>17</v>
      </c>
      <c r="AY297" s="107" t="s">
        <v>130</v>
      </c>
      <c r="BK297" s="108">
        <f>SUM($BK$298:$BK$306)</f>
        <v>0</v>
      </c>
    </row>
    <row r="298" spans="2:64" s="9" customFormat="1" ht="27" customHeight="1">
      <c r="B298" s="21"/>
      <c r="C298" s="110" t="s">
        <v>361</v>
      </c>
      <c r="D298" s="110" t="s">
        <v>131</v>
      </c>
      <c r="E298" s="111" t="s">
        <v>362</v>
      </c>
      <c r="F298" s="181" t="s">
        <v>363</v>
      </c>
      <c r="G298" s="181"/>
      <c r="H298" s="181"/>
      <c r="I298" s="181"/>
      <c r="J298" s="112" t="s">
        <v>140</v>
      </c>
      <c r="K298" s="113">
        <v>94.61</v>
      </c>
      <c r="L298" s="182"/>
      <c r="M298" s="182"/>
      <c r="N298" s="182">
        <f>ROUND($L$298*$K$298,2)</f>
        <v>0</v>
      </c>
      <c r="O298" s="182"/>
      <c r="P298" s="182"/>
      <c r="Q298" s="182"/>
      <c r="R298" s="22"/>
      <c r="T298" s="114"/>
      <c r="U298" s="27" t="s">
        <v>38</v>
      </c>
      <c r="V298" s="115">
        <v>0.15</v>
      </c>
      <c r="W298" s="115">
        <f>$V$298*$K$298</f>
        <v>14.1915</v>
      </c>
      <c r="X298" s="115">
        <v>0.00064</v>
      </c>
      <c r="Y298" s="115">
        <f>$X$298*$K$298</f>
        <v>0.060550400000000004</v>
      </c>
      <c r="Z298" s="115">
        <v>0</v>
      </c>
      <c r="AA298" s="116">
        <f>$Z$298*$K$298</f>
        <v>0</v>
      </c>
      <c r="AR298" s="9" t="s">
        <v>207</v>
      </c>
      <c r="AT298" s="9" t="s">
        <v>131</v>
      </c>
      <c r="AU298" s="9" t="s">
        <v>90</v>
      </c>
      <c r="AY298" s="9" t="s">
        <v>130</v>
      </c>
      <c r="BE298" s="91">
        <f>IF($U$298="základní",$N$298,0)</f>
        <v>0</v>
      </c>
      <c r="BF298" s="91">
        <f>IF($U$298="snížená",$N$298,0)</f>
        <v>0</v>
      </c>
      <c r="BG298" s="91">
        <f>IF($U$298="zákl. přenesená",$N$298,0)</f>
        <v>0</v>
      </c>
      <c r="BH298" s="91">
        <f>IF($U$298="sníž. přenesená",$N$298,0)</f>
        <v>0</v>
      </c>
      <c r="BI298" s="91">
        <f>IF($U$298="nulová",$N$298,0)</f>
        <v>0</v>
      </c>
      <c r="BJ298" s="9" t="s">
        <v>17</v>
      </c>
      <c r="BK298" s="91">
        <f>ROUND($L$298*$K$298,2)</f>
        <v>0</v>
      </c>
      <c r="BL298" s="9" t="s">
        <v>207</v>
      </c>
    </row>
    <row r="299" spans="2:51" s="9" customFormat="1" ht="15.75" customHeight="1">
      <c r="B299" s="129"/>
      <c r="E299" s="130"/>
      <c r="F299" s="187" t="s">
        <v>147</v>
      </c>
      <c r="G299" s="187"/>
      <c r="H299" s="187"/>
      <c r="I299" s="187"/>
      <c r="K299" s="132">
        <v>94.61</v>
      </c>
      <c r="R299" s="133"/>
      <c r="T299" s="134"/>
      <c r="AA299" s="135"/>
      <c r="AT299" s="130" t="s">
        <v>137</v>
      </c>
      <c r="AU299" s="130" t="s">
        <v>90</v>
      </c>
      <c r="AV299" s="130" t="s">
        <v>135</v>
      </c>
      <c r="AW299" s="130" t="s">
        <v>98</v>
      </c>
      <c r="AX299" s="130" t="s">
        <v>73</v>
      </c>
      <c r="AY299" s="130" t="s">
        <v>130</v>
      </c>
    </row>
    <row r="300" spans="2:64" s="9" customFormat="1" ht="27" customHeight="1">
      <c r="B300" s="21"/>
      <c r="C300" s="110" t="s">
        <v>364</v>
      </c>
      <c r="D300" s="110" t="s">
        <v>131</v>
      </c>
      <c r="E300" s="111" t="s">
        <v>365</v>
      </c>
      <c r="F300" s="181" t="s">
        <v>366</v>
      </c>
      <c r="G300" s="181"/>
      <c r="H300" s="181"/>
      <c r="I300" s="181"/>
      <c r="J300" s="112" t="s">
        <v>140</v>
      </c>
      <c r="K300" s="113">
        <v>160.68</v>
      </c>
      <c r="L300" s="182"/>
      <c r="M300" s="182"/>
      <c r="N300" s="182">
        <f>ROUND($L$300*$K$300,2)</f>
        <v>0</v>
      </c>
      <c r="O300" s="182"/>
      <c r="P300" s="182"/>
      <c r="Q300" s="182"/>
      <c r="R300" s="22"/>
      <c r="T300" s="114"/>
      <c r="U300" s="27" t="s">
        <v>38</v>
      </c>
      <c r="V300" s="115">
        <v>0.068</v>
      </c>
      <c r="W300" s="115">
        <f>$V$300*$K$300</f>
        <v>10.926240000000002</v>
      </c>
      <c r="X300" s="115">
        <v>1E-05</v>
      </c>
      <c r="Y300" s="115">
        <f>$X$300*$K$300</f>
        <v>0.0016068000000000002</v>
      </c>
      <c r="Z300" s="115">
        <v>0</v>
      </c>
      <c r="AA300" s="116">
        <f>$Z$300*$K$300</f>
        <v>0</v>
      </c>
      <c r="AR300" s="9" t="s">
        <v>207</v>
      </c>
      <c r="AT300" s="9" t="s">
        <v>131</v>
      </c>
      <c r="AU300" s="9" t="s">
        <v>90</v>
      </c>
      <c r="AY300" s="9" t="s">
        <v>130</v>
      </c>
      <c r="BE300" s="91">
        <f>IF($U$300="základní",$N$300,0)</f>
        <v>0</v>
      </c>
      <c r="BF300" s="91">
        <f>IF($U$300="snížená",$N$300,0)</f>
        <v>0</v>
      </c>
      <c r="BG300" s="91">
        <f>IF($U$300="zákl. přenesená",$N$300,0)</f>
        <v>0</v>
      </c>
      <c r="BH300" s="91">
        <f>IF($U$300="sníž. přenesená",$N$300,0)</f>
        <v>0</v>
      </c>
      <c r="BI300" s="91">
        <f>IF($U$300="nulová",$N$300,0)</f>
        <v>0</v>
      </c>
      <c r="BJ300" s="9" t="s">
        <v>17</v>
      </c>
      <c r="BK300" s="91">
        <f>ROUND($L$300*$K$300,2)</f>
        <v>0</v>
      </c>
      <c r="BL300" s="9" t="s">
        <v>207</v>
      </c>
    </row>
    <row r="301" spans="2:51" s="9" customFormat="1" ht="15.75" customHeight="1">
      <c r="B301" s="117"/>
      <c r="E301" s="118"/>
      <c r="F301" s="183" t="s">
        <v>367</v>
      </c>
      <c r="G301" s="183"/>
      <c r="H301" s="183"/>
      <c r="I301" s="183"/>
      <c r="K301" s="119">
        <v>31.425</v>
      </c>
      <c r="R301" s="120"/>
      <c r="T301" s="121"/>
      <c r="AA301" s="122"/>
      <c r="AT301" s="118" t="s">
        <v>137</v>
      </c>
      <c r="AU301" s="118" t="s">
        <v>90</v>
      </c>
      <c r="AV301" s="118" t="s">
        <v>90</v>
      </c>
      <c r="AW301" s="118" t="s">
        <v>98</v>
      </c>
      <c r="AX301" s="118" t="s">
        <v>73</v>
      </c>
      <c r="AY301" s="118" t="s">
        <v>130</v>
      </c>
    </row>
    <row r="302" spans="2:51" s="9" customFormat="1" ht="15.75" customHeight="1">
      <c r="B302" s="117"/>
      <c r="E302" s="118"/>
      <c r="F302" s="183" t="s">
        <v>368</v>
      </c>
      <c r="G302" s="183"/>
      <c r="H302" s="183"/>
      <c r="I302" s="183"/>
      <c r="K302" s="119">
        <v>26.25</v>
      </c>
      <c r="R302" s="120"/>
      <c r="T302" s="121"/>
      <c r="AA302" s="122"/>
      <c r="AT302" s="118"/>
      <c r="AU302" s="118"/>
      <c r="AV302" s="118"/>
      <c r="AW302" s="118"/>
      <c r="AX302" s="118"/>
      <c r="AY302" s="118"/>
    </row>
    <row r="303" spans="2:51" s="9" customFormat="1" ht="15.75" customHeight="1">
      <c r="B303" s="117"/>
      <c r="E303" s="118"/>
      <c r="F303" s="183" t="s">
        <v>369</v>
      </c>
      <c r="G303" s="183"/>
      <c r="H303" s="183"/>
      <c r="I303" s="183"/>
      <c r="K303" s="119">
        <v>13.665</v>
      </c>
      <c r="R303" s="120"/>
      <c r="T303" s="121"/>
      <c r="AA303" s="122"/>
      <c r="AT303" s="118"/>
      <c r="AU303" s="118"/>
      <c r="AV303" s="118"/>
      <c r="AW303" s="118"/>
      <c r="AX303" s="118"/>
      <c r="AY303" s="118"/>
    </row>
    <row r="304" spans="2:51" s="9" customFormat="1" ht="15.75" customHeight="1">
      <c r="B304" s="117"/>
      <c r="E304" s="118"/>
      <c r="F304" s="183" t="s">
        <v>370</v>
      </c>
      <c r="G304" s="183"/>
      <c r="H304" s="183"/>
      <c r="I304" s="183"/>
      <c r="K304" s="119">
        <v>25.59</v>
      </c>
      <c r="R304" s="120"/>
      <c r="T304" s="121"/>
      <c r="AA304" s="122"/>
      <c r="AT304" s="118"/>
      <c r="AU304" s="118"/>
      <c r="AV304" s="118"/>
      <c r="AW304" s="118"/>
      <c r="AX304" s="118"/>
      <c r="AY304" s="118"/>
    </row>
    <row r="305" spans="2:51" s="9" customFormat="1" ht="15.75" customHeight="1">
      <c r="B305" s="117"/>
      <c r="E305" s="118"/>
      <c r="F305" s="183" t="s">
        <v>371</v>
      </c>
      <c r="G305" s="183"/>
      <c r="H305" s="183"/>
      <c r="I305" s="183"/>
      <c r="K305" s="119">
        <v>63.75</v>
      </c>
      <c r="R305" s="120"/>
      <c r="T305" s="121"/>
      <c r="AA305" s="122"/>
      <c r="AT305" s="118"/>
      <c r="AU305" s="118"/>
      <c r="AV305" s="118"/>
      <c r="AW305" s="118"/>
      <c r="AX305" s="118"/>
      <c r="AY305" s="118"/>
    </row>
    <row r="306" spans="2:51" s="9" customFormat="1" ht="15.75" customHeight="1">
      <c r="B306" s="117"/>
      <c r="E306" s="118"/>
      <c r="F306" s="187" t="s">
        <v>147</v>
      </c>
      <c r="G306" s="187"/>
      <c r="H306" s="187"/>
      <c r="I306" s="187"/>
      <c r="K306" s="132">
        <f>SUM(K301:K305)</f>
        <v>160.68</v>
      </c>
      <c r="R306" s="120"/>
      <c r="T306" s="145"/>
      <c r="U306" s="146"/>
      <c r="V306" s="146"/>
      <c r="W306" s="146"/>
      <c r="X306" s="146"/>
      <c r="Y306" s="146"/>
      <c r="Z306" s="146"/>
      <c r="AA306" s="147"/>
      <c r="AT306" s="118" t="s">
        <v>137</v>
      </c>
      <c r="AU306" s="118" t="s">
        <v>90</v>
      </c>
      <c r="AV306" s="118" t="s">
        <v>90</v>
      </c>
      <c r="AW306" s="118" t="s">
        <v>98</v>
      </c>
      <c r="AX306" s="118" t="s">
        <v>73</v>
      </c>
      <c r="AY306" s="118" t="s">
        <v>130</v>
      </c>
    </row>
    <row r="307" spans="2:18" s="9" customFormat="1" ht="7.5" customHeight="1">
      <c r="B307" s="42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4"/>
    </row>
    <row r="308" s="1" customFormat="1" ht="14.25" customHeight="1"/>
  </sheetData>
  <sheetProtection selectLockedCells="1" selectUnlockedCells="1"/>
  <mergeCells count="383">
    <mergeCell ref="F301:I301"/>
    <mergeCell ref="F302:I302"/>
    <mergeCell ref="F303:I303"/>
    <mergeCell ref="F304:I304"/>
    <mergeCell ref="F305:I305"/>
    <mergeCell ref="F306:I306"/>
    <mergeCell ref="N297:Q297"/>
    <mergeCell ref="F298:I298"/>
    <mergeCell ref="L298:M298"/>
    <mergeCell ref="N298:Q298"/>
    <mergeCell ref="F299:I299"/>
    <mergeCell ref="F300:I300"/>
    <mergeCell ref="L300:M300"/>
    <mergeCell ref="N300:Q300"/>
    <mergeCell ref="F295:I295"/>
    <mergeCell ref="L295:M295"/>
    <mergeCell ref="N295:Q295"/>
    <mergeCell ref="F296:I296"/>
    <mergeCell ref="L296:M296"/>
    <mergeCell ref="N296:Q296"/>
    <mergeCell ref="F291:I291"/>
    <mergeCell ref="F292:I292"/>
    <mergeCell ref="L292:M292"/>
    <mergeCell ref="N292:Q292"/>
    <mergeCell ref="F293:I293"/>
    <mergeCell ref="F294:I294"/>
    <mergeCell ref="L294:M294"/>
    <mergeCell ref="N294:Q294"/>
    <mergeCell ref="F287:I287"/>
    <mergeCell ref="L287:M287"/>
    <mergeCell ref="N287:Q287"/>
    <mergeCell ref="F288:I288"/>
    <mergeCell ref="N289:Q289"/>
    <mergeCell ref="F290:I290"/>
    <mergeCell ref="L290:M290"/>
    <mergeCell ref="N290:Q290"/>
    <mergeCell ref="F283:I283"/>
    <mergeCell ref="L283:M283"/>
    <mergeCell ref="N283:Q283"/>
    <mergeCell ref="F284:I284"/>
    <mergeCell ref="F285:I285"/>
    <mergeCell ref="F286:I286"/>
    <mergeCell ref="F279:I279"/>
    <mergeCell ref="F280:I280"/>
    <mergeCell ref="F281:I281"/>
    <mergeCell ref="F282:I282"/>
    <mergeCell ref="L282:M282"/>
    <mergeCell ref="N282:Q282"/>
    <mergeCell ref="F275:I275"/>
    <mergeCell ref="F276:I276"/>
    <mergeCell ref="L276:M276"/>
    <mergeCell ref="N276:Q276"/>
    <mergeCell ref="N277:Q277"/>
    <mergeCell ref="F278:I278"/>
    <mergeCell ref="L278:M278"/>
    <mergeCell ref="N278:Q278"/>
    <mergeCell ref="F271:I271"/>
    <mergeCell ref="F272:I272"/>
    <mergeCell ref="L272:M272"/>
    <mergeCell ref="N272:Q272"/>
    <mergeCell ref="F273:I273"/>
    <mergeCell ref="F274:I274"/>
    <mergeCell ref="L274:M274"/>
    <mergeCell ref="N274:Q274"/>
    <mergeCell ref="F267:I267"/>
    <mergeCell ref="F268:I268"/>
    <mergeCell ref="L268:M268"/>
    <mergeCell ref="N268:Q268"/>
    <mergeCell ref="F269:I269"/>
    <mergeCell ref="F270:I270"/>
    <mergeCell ref="L270:M270"/>
    <mergeCell ref="N270:Q270"/>
    <mergeCell ref="F263:I263"/>
    <mergeCell ref="F264:I264"/>
    <mergeCell ref="L264:M264"/>
    <mergeCell ref="N264:Q264"/>
    <mergeCell ref="F265:I265"/>
    <mergeCell ref="F266:I266"/>
    <mergeCell ref="L266:M266"/>
    <mergeCell ref="N266:Q266"/>
    <mergeCell ref="F259:I259"/>
    <mergeCell ref="F260:I260"/>
    <mergeCell ref="L260:M260"/>
    <mergeCell ref="N260:Q260"/>
    <mergeCell ref="F261:I261"/>
    <mergeCell ref="F262:I262"/>
    <mergeCell ref="L262:M262"/>
    <mergeCell ref="N262:Q262"/>
    <mergeCell ref="F256:I256"/>
    <mergeCell ref="L256:M256"/>
    <mergeCell ref="N256:Q256"/>
    <mergeCell ref="F257:I257"/>
    <mergeCell ref="F258:I258"/>
    <mergeCell ref="L258:M258"/>
    <mergeCell ref="N258:Q258"/>
    <mergeCell ref="F252:I252"/>
    <mergeCell ref="F253:I253"/>
    <mergeCell ref="F254:I254"/>
    <mergeCell ref="L254:M254"/>
    <mergeCell ref="N254:Q254"/>
    <mergeCell ref="F255:I255"/>
    <mergeCell ref="F248:I248"/>
    <mergeCell ref="F249:I249"/>
    <mergeCell ref="L249:M249"/>
    <mergeCell ref="N249:Q249"/>
    <mergeCell ref="F250:I250"/>
    <mergeCell ref="F251:I251"/>
    <mergeCell ref="L251:M251"/>
    <mergeCell ref="N251:Q251"/>
    <mergeCell ref="F244:I244"/>
    <mergeCell ref="F245:I245"/>
    <mergeCell ref="F246:I246"/>
    <mergeCell ref="L246:M246"/>
    <mergeCell ref="N246:Q246"/>
    <mergeCell ref="F247:I247"/>
    <mergeCell ref="F241:I241"/>
    <mergeCell ref="L241:M241"/>
    <mergeCell ref="N241:Q241"/>
    <mergeCell ref="N242:Q242"/>
    <mergeCell ref="F243:I243"/>
    <mergeCell ref="L243:M243"/>
    <mergeCell ref="N243:Q243"/>
    <mergeCell ref="N237:Q237"/>
    <mergeCell ref="F238:I238"/>
    <mergeCell ref="L238:M238"/>
    <mergeCell ref="N238:Q238"/>
    <mergeCell ref="N239:Q239"/>
    <mergeCell ref="F240:I240"/>
    <mergeCell ref="L240:M240"/>
    <mergeCell ref="N240:Q240"/>
    <mergeCell ref="F233:I233"/>
    <mergeCell ref="L233:M233"/>
    <mergeCell ref="N233:Q233"/>
    <mergeCell ref="N234:Q234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27:I227"/>
    <mergeCell ref="N228:Q228"/>
    <mergeCell ref="F229:I229"/>
    <mergeCell ref="L229:M229"/>
    <mergeCell ref="N229:Q229"/>
    <mergeCell ref="F230:I230"/>
    <mergeCell ref="L230:M230"/>
    <mergeCell ref="N230:Q230"/>
    <mergeCell ref="F222:I222"/>
    <mergeCell ref="F223:I223"/>
    <mergeCell ref="F225:I225"/>
    <mergeCell ref="L225:M225"/>
    <mergeCell ref="N225:Q225"/>
    <mergeCell ref="F226:I226"/>
    <mergeCell ref="F218:I218"/>
    <mergeCell ref="L218:M218"/>
    <mergeCell ref="N218:Q218"/>
    <mergeCell ref="F219:I219"/>
    <mergeCell ref="F220:I220"/>
    <mergeCell ref="F221:I221"/>
    <mergeCell ref="F211:I211"/>
    <mergeCell ref="F212:I212"/>
    <mergeCell ref="F213:I213"/>
    <mergeCell ref="F214:I214"/>
    <mergeCell ref="F215:I215"/>
    <mergeCell ref="F216:I216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04:I204"/>
    <mergeCell ref="F205:I205"/>
    <mergeCell ref="L205:M205"/>
    <mergeCell ref="N205:Q205"/>
    <mergeCell ref="F206:I206"/>
    <mergeCell ref="L206:M206"/>
    <mergeCell ref="N206:Q206"/>
    <mergeCell ref="F201:I201"/>
    <mergeCell ref="L201:M201"/>
    <mergeCell ref="N201:Q201"/>
    <mergeCell ref="F202:I202"/>
    <mergeCell ref="F203:I203"/>
    <mergeCell ref="L203:M203"/>
    <mergeCell ref="N203:Q203"/>
    <mergeCell ref="F195:I195"/>
    <mergeCell ref="F196:I196"/>
    <mergeCell ref="F197:I197"/>
    <mergeCell ref="F198:I198"/>
    <mergeCell ref="F199:I199"/>
    <mergeCell ref="F200:I200"/>
    <mergeCell ref="F193:I193"/>
    <mergeCell ref="L193:M193"/>
    <mergeCell ref="N193:Q193"/>
    <mergeCell ref="F194:I194"/>
    <mergeCell ref="L194:M194"/>
    <mergeCell ref="N194:Q194"/>
    <mergeCell ref="F188:I188"/>
    <mergeCell ref="F189:I189"/>
    <mergeCell ref="F190:I190"/>
    <mergeCell ref="N191:Q191"/>
    <mergeCell ref="F192:I192"/>
    <mergeCell ref="L192:M192"/>
    <mergeCell ref="N192:Q192"/>
    <mergeCell ref="F184:I184"/>
    <mergeCell ref="L184:M184"/>
    <mergeCell ref="N184:Q184"/>
    <mergeCell ref="F185:I185"/>
    <mergeCell ref="F186:I186"/>
    <mergeCell ref="F187:I187"/>
    <mergeCell ref="F178:I178"/>
    <mergeCell ref="F179:I179"/>
    <mergeCell ref="F180:I180"/>
    <mergeCell ref="F181:I181"/>
    <mergeCell ref="F182:I182"/>
    <mergeCell ref="F183:I183"/>
    <mergeCell ref="F174:I174"/>
    <mergeCell ref="F175:I175"/>
    <mergeCell ref="F176:I176"/>
    <mergeCell ref="F177:I177"/>
    <mergeCell ref="L177:M177"/>
    <mergeCell ref="N177:Q177"/>
    <mergeCell ref="F171:I171"/>
    <mergeCell ref="L171:M171"/>
    <mergeCell ref="N171:Q171"/>
    <mergeCell ref="F172:I172"/>
    <mergeCell ref="F173:I173"/>
    <mergeCell ref="L173:M173"/>
    <mergeCell ref="N173:Q173"/>
    <mergeCell ref="F167:I167"/>
    <mergeCell ref="F168:I168"/>
    <mergeCell ref="F169:I169"/>
    <mergeCell ref="L169:M169"/>
    <mergeCell ref="N169:Q169"/>
    <mergeCell ref="F170:I170"/>
    <mergeCell ref="F163:I163"/>
    <mergeCell ref="L163:M163"/>
    <mergeCell ref="N163:Q163"/>
    <mergeCell ref="F164:I164"/>
    <mergeCell ref="F165:I165"/>
    <mergeCell ref="F166:I166"/>
    <mergeCell ref="F157:I157"/>
    <mergeCell ref="F158:I158"/>
    <mergeCell ref="F159:I159"/>
    <mergeCell ref="F160:I160"/>
    <mergeCell ref="F161:I161"/>
    <mergeCell ref="F162:I162"/>
    <mergeCell ref="F153:I153"/>
    <mergeCell ref="F154:I154"/>
    <mergeCell ref="F155:I155"/>
    <mergeCell ref="F156:I156"/>
    <mergeCell ref="L156:M156"/>
    <mergeCell ref="N156:Q156"/>
    <mergeCell ref="F149:I149"/>
    <mergeCell ref="L149:M149"/>
    <mergeCell ref="N149:Q149"/>
    <mergeCell ref="F150:I150"/>
    <mergeCell ref="F151:I151"/>
    <mergeCell ref="F152:I152"/>
    <mergeCell ref="F145:I145"/>
    <mergeCell ref="F146:I146"/>
    <mergeCell ref="L146:M146"/>
    <mergeCell ref="N146:Q146"/>
    <mergeCell ref="F147:I147"/>
    <mergeCell ref="F148:I148"/>
    <mergeCell ref="N139:Q139"/>
    <mergeCell ref="F140:I140"/>
    <mergeCell ref="F141:I141"/>
    <mergeCell ref="F142:I142"/>
    <mergeCell ref="F143:I143"/>
    <mergeCell ref="F144:I144"/>
    <mergeCell ref="F135:I135"/>
    <mergeCell ref="F136:I136"/>
    <mergeCell ref="F137:I137"/>
    <mergeCell ref="F138:I138"/>
    <mergeCell ref="F139:I139"/>
    <mergeCell ref="L139:M139"/>
    <mergeCell ref="F131:I131"/>
    <mergeCell ref="F132:I132"/>
    <mergeCell ref="L132:M132"/>
    <mergeCell ref="N132:Q132"/>
    <mergeCell ref="F133:I133"/>
    <mergeCell ref="F134:I134"/>
    <mergeCell ref="F129:I129"/>
    <mergeCell ref="L129:M129"/>
    <mergeCell ref="N129:Q129"/>
    <mergeCell ref="F130:I130"/>
    <mergeCell ref="L130:M130"/>
    <mergeCell ref="N130:Q130"/>
    <mergeCell ref="F125:I125"/>
    <mergeCell ref="N126:Q126"/>
    <mergeCell ref="F127:I127"/>
    <mergeCell ref="L127:M127"/>
    <mergeCell ref="N127:Q127"/>
    <mergeCell ref="N128:Q128"/>
    <mergeCell ref="F119:I119"/>
    <mergeCell ref="F120:I120"/>
    <mergeCell ref="F121:I121"/>
    <mergeCell ref="F122:I122"/>
    <mergeCell ref="F123:I123"/>
    <mergeCell ref="F124:I124"/>
    <mergeCell ref="N115:Q115"/>
    <mergeCell ref="F116:I116"/>
    <mergeCell ref="L116:M116"/>
    <mergeCell ref="N116:Q116"/>
    <mergeCell ref="F117:I117"/>
    <mergeCell ref="F118:I118"/>
    <mergeCell ref="L118:M118"/>
    <mergeCell ref="N118:Q118"/>
    <mergeCell ref="M110:Q110"/>
    <mergeCell ref="F112:I112"/>
    <mergeCell ref="L112:M112"/>
    <mergeCell ref="N112:Q112"/>
    <mergeCell ref="N113:Q113"/>
    <mergeCell ref="N114:Q114"/>
    <mergeCell ref="L96:Q96"/>
    <mergeCell ref="C102:Q102"/>
    <mergeCell ref="F104:P104"/>
    <mergeCell ref="F105:P105"/>
    <mergeCell ref="M107:P107"/>
    <mergeCell ref="M109:Q109"/>
    <mergeCell ref="N89:Q89"/>
    <mergeCell ref="N90:Q90"/>
    <mergeCell ref="N91:Q91"/>
    <mergeCell ref="N93:Q93"/>
    <mergeCell ref="D94:H94"/>
    <mergeCell ref="N94:Q94"/>
    <mergeCell ref="N83:Q83"/>
    <mergeCell ref="N84:Q84"/>
    <mergeCell ref="N85:Q85"/>
    <mergeCell ref="N86:Q86"/>
    <mergeCell ref="N87:Q87"/>
    <mergeCell ref="N88:Q88"/>
    <mergeCell ref="N77:Q77"/>
    <mergeCell ref="N78:Q78"/>
    <mergeCell ref="N79:Q79"/>
    <mergeCell ref="N80:Q80"/>
    <mergeCell ref="N81:Q81"/>
    <mergeCell ref="N82:Q82"/>
    <mergeCell ref="F67:P67"/>
    <mergeCell ref="F68:P68"/>
    <mergeCell ref="M70:P70"/>
    <mergeCell ref="M72:Q72"/>
    <mergeCell ref="M73:Q73"/>
    <mergeCell ref="C75:G75"/>
    <mergeCell ref="N75:Q75"/>
    <mergeCell ref="H32:J32"/>
    <mergeCell ref="M32:P32"/>
    <mergeCell ref="H33:J33"/>
    <mergeCell ref="M33:P33"/>
    <mergeCell ref="L35:P35"/>
    <mergeCell ref="C65:Q65"/>
    <mergeCell ref="H29:J29"/>
    <mergeCell ref="M29:P29"/>
    <mergeCell ref="H30:J30"/>
    <mergeCell ref="M30:P30"/>
    <mergeCell ref="H31:J31"/>
    <mergeCell ref="M31:P31"/>
    <mergeCell ref="O18:P18"/>
    <mergeCell ref="O20:P20"/>
    <mergeCell ref="O21:P21"/>
    <mergeCell ref="M24:P24"/>
    <mergeCell ref="M25:P25"/>
    <mergeCell ref="M27:P27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hyperlinks>
    <hyperlink ref="F1" location="C2" display="1) Krycí list rozpočtu"/>
    <hyperlink ref="H1" location="C86" display="2) Rekapitulace rozpočtu"/>
    <hyperlink ref="L1" location="C124" display="3) Rozpočet"/>
    <hyperlink ref="S1" location="Rekapitulace stavby!C2" display="Rekapitulace stavby"/>
  </hyperlinks>
  <printOptions/>
  <pageMargins left="0.5902777777777778" right="0.5902777777777778" top="0.5902777777777778" bottom="0.5902777777777778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Beránková Jiřina</dc:creator>
  <cp:keywords/>
  <dc:description/>
  <cp:lastModifiedBy>Beránková Jiřina</cp:lastModifiedBy>
  <dcterms:created xsi:type="dcterms:W3CDTF">2016-04-18T13:57:05Z</dcterms:created>
  <dcterms:modified xsi:type="dcterms:W3CDTF">2016-04-18T13:57:07Z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