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<sst xmlns="http://schemas.openxmlformats.org/spreadsheetml/2006/main" count="464" uniqueCount="233">
  <si>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</si>
  <si>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</si>
  <si>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</si>
  <si>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</si>
  <si>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</si>
  <si>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</si>
  <si>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</si>
  <si>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</si>
  <si>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</si>
  <si>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</si>
  <si>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</si>
  <si>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</si>
  <si>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</si>
  <si>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</si>
  <si>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</si>
  <si>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</si>
  <si>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</si>
  <si>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</si>
  <si>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</si>
  <si>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</si>
  <si>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</si>
  <si>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</si>
  <si>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</si>
  <si>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</si>
  <si>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</si>
  <si>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</si>
  <si>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</si>
  <si>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</si>
  <si>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</si>
  <si>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</si>
  <si>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</si>
  <si>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</si>
  <si>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</si>
  <si>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</si>
  <si>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</si>
  <si>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</si>
  <si>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</si>
  <si>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</si>
  <si>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</si>
  <si>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</si>
  <si>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</si>
  <si>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Poznámka:</t>
  </si>
  <si>
    <t>Objekt</t>
  </si>
  <si>
    <t>Kód</t>
  </si>
  <si>
    <t>712</t>
  </si>
  <si>
    <t>712221111R00</t>
  </si>
  <si>
    <t>62866510</t>
  </si>
  <si>
    <t>62866154</t>
  </si>
  <si>
    <t>59660232</t>
  </si>
  <si>
    <t>712211111R00</t>
  </si>
  <si>
    <t>62822021</t>
  </si>
  <si>
    <t>712963703RT1A</t>
  </si>
  <si>
    <t>673522300</t>
  </si>
  <si>
    <t>998712102R00</t>
  </si>
  <si>
    <t>762</t>
  </si>
  <si>
    <t>762088116R00</t>
  </si>
  <si>
    <t>762341210RT3</t>
  </si>
  <si>
    <t>762341811R00</t>
  </si>
  <si>
    <t>764</t>
  </si>
  <si>
    <t>764312822R00</t>
  </si>
  <si>
    <t>764331830R00</t>
  </si>
  <si>
    <t>764339840R00</t>
  </si>
  <si>
    <t>764342821R00</t>
  </si>
  <si>
    <t>764393830R00</t>
  </si>
  <si>
    <t>764430840R00</t>
  </si>
  <si>
    <t>764392840R00</t>
  </si>
  <si>
    <t>764339240R00</t>
  </si>
  <si>
    <t>764342230R00</t>
  </si>
  <si>
    <t>764422210R00</t>
  </si>
  <si>
    <t>764430220R00</t>
  </si>
  <si>
    <t>998764102R00</t>
  </si>
  <si>
    <t>783</t>
  </si>
  <si>
    <t>783782211R00</t>
  </si>
  <si>
    <t>96</t>
  </si>
  <si>
    <t>962200011RA0</t>
  </si>
  <si>
    <t>M21</t>
  </si>
  <si>
    <t>210220302RT3A</t>
  </si>
  <si>
    <t>S</t>
  </si>
  <si>
    <t>979011111R00</t>
  </si>
  <si>
    <t>979011121R00</t>
  </si>
  <si>
    <t>979082111R00</t>
  </si>
  <si>
    <t>979083117R00</t>
  </si>
  <si>
    <t>979990001R00</t>
  </si>
  <si>
    <t>979990161R00</t>
  </si>
  <si>
    <t>Oprava střešního pláště domu v ul. 8. května 1113 - aktualizace zak. 371T/07</t>
  </si>
  <si>
    <t>oprava</t>
  </si>
  <si>
    <t>Lovosice</t>
  </si>
  <si>
    <t>Zkrácený popis / Varianta</t>
  </si>
  <si>
    <t>Rozměry</t>
  </si>
  <si>
    <t>Izolace střech (živičné krytiny)</t>
  </si>
  <si>
    <t>Montáž živičného šindele střech jednoduch. do 45°</t>
  </si>
  <si>
    <t>Podkladní asfaltový izolační pás přibitím</t>
  </si>
  <si>
    <t>Ošetření úžlabí úžlabním pásem</t>
  </si>
  <si>
    <t>Přesun hmot pro povlakové krytiny, výšky do 12 m</t>
  </si>
  <si>
    <t>Konstrukce tesařské</t>
  </si>
  <si>
    <t>Zakrývání provizorní plachtou 15x20m,vč.odstranění</t>
  </si>
  <si>
    <t>Montáž bednění střech rovných, prkna hrubá na sraz</t>
  </si>
  <si>
    <t>včetně dodávky řeziva, prkna tl. 22 mm</t>
  </si>
  <si>
    <t>80% plochy pultové střechy a plocha za kotelnou</t>
  </si>
  <si>
    <t>Demontáž bednění střech rovných z prken hrubých</t>
  </si>
  <si>
    <t>Konstrukce klempířské</t>
  </si>
  <si>
    <t>Demont. krytiny, tab.2 x 0,67 m, nad 25 m2, do 30°</t>
  </si>
  <si>
    <t>Demontáž lemování zdí, rš 250 a 330 mm, do 30°</t>
  </si>
  <si>
    <t>Demontáž lemování komínů v hřeb. hl. kryt, do 30°</t>
  </si>
  <si>
    <t>Demontáž lemování trub D 100 mm, hl. kryt. do 30°</t>
  </si>
  <si>
    <t>Demontáž hřebene střechy, rš do 400 mm, do 30°</t>
  </si>
  <si>
    <t>Demontáž oplechování okap. hrany,rš od 330 do 500 mm</t>
  </si>
  <si>
    <t>atiky</t>
  </si>
  <si>
    <t>Demontáž úžlabí, rš 500 mm, sklon do 30°</t>
  </si>
  <si>
    <t>Lemování z Pz, komínů na hladké krytině, v hřebeni</t>
  </si>
  <si>
    <t>Lemování trub Pz, hladká krytina, D do 150 mm</t>
  </si>
  <si>
    <t>Oplechování okap. hrany z Pz plechu, rš 500 mm</t>
  </si>
  <si>
    <t>Oplechování zdí z Pz plechu, rš 330 mm</t>
  </si>
  <si>
    <t>Přesun hmot pro klempířské konstr., výšky do 12 m</t>
  </si>
  <si>
    <t>Nátěry</t>
  </si>
  <si>
    <t>bednění</t>
  </si>
  <si>
    <t>krov</t>
  </si>
  <si>
    <t>Bourání konstrukcí</t>
  </si>
  <si>
    <t>Bourání příček z cihel pálených</t>
  </si>
  <si>
    <t>bourání obezdívky pozednice nad okapem pro umístění ventilační mřížky</t>
  </si>
  <si>
    <t>Elektromontáže</t>
  </si>
  <si>
    <t>Hromosvod souborně-demontáž a zpětná montáž</t>
  </si>
  <si>
    <t>Přesuny sutí</t>
  </si>
  <si>
    <t>Svislá doprava suti a vybour. hmot za 2.NP a 1.PP</t>
  </si>
  <si>
    <t>Příplatek za každé další podlaží</t>
  </si>
  <si>
    <t>Vnitrostaveništní doprava suti do 10 m</t>
  </si>
  <si>
    <t>Vodorovné přemístění suti na skládku do 6000 m</t>
  </si>
  <si>
    <t>Poplatek za skládku stavební suti</t>
  </si>
  <si>
    <t>Poplatek za skládku suti - dřevo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</si>
  <si>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</si>
  <si>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</si>
  <si>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</si>
  <si>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</si>
  <si>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</si>
  <si>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</si>
  <si>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</si>
  <si>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</si>
  <si>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t</t>
  </si>
  <si>
    <t>soub.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</si>
  <si>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</si>
  <si>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</si>
  <si>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</si>
  <si>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</si>
  <si>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</si>
  <si>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</si>
  <si>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</si>
  <si>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</si>
  <si>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</si>
  <si>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</si>
  <si>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</si>
  <si>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 Lovosice</t>
  </si>
  <si>
    <t>Daniela Pleskotová</t>
  </si>
  <si>
    <t>Ing. Daniela Pleskotová</t>
  </si>
  <si>
    <t>Celkem</t>
  </si>
  <si>
    <t>Hmotnost (t)</t>
  </si>
  <si>
    <t>Cenová</t>
  </si>
  <si>
    <t>soustava</t>
  </si>
  <si>
    <t>RTS II / 2014</t>
  </si>
  <si>
    <t>0</t>
  </si>
  <si>
    <t>Přesuny</t>
  </si>
  <si>
    <t>Typ skupiny</t>
  </si>
  <si>
    <t>PS</t>
  </si>
  <si>
    <t>HS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</si>
  <si>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</si>
  <si>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</si>
  <si>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</si>
  <si>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</si>
  <si>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</si>
  <si>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</si>
  <si>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</si>
  <si>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</si>
  <si>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712_</t>
  </si>
  <si>
    <t>762_</t>
  </si>
  <si>
    <t>764_</t>
  </si>
  <si>
    <t>783_</t>
  </si>
  <si>
    <t>96_</t>
  </si>
  <si>
    <t>M21_</t>
  </si>
  <si>
    <t>S_</t>
  </si>
  <si>
    <t>71_</t>
  </si>
  <si>
    <t>76_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</si>
  <si>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</si>
  <si>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</si>
  <si>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</si>
  <si>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</si>
  <si>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</si>
  <si>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</si>
  <si>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</si>
  <si>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</si>
  <si>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</si>
  <si>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</si>
  <si>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</si>
  <si>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</si>
  <si>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</si>
  <si>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</si>
  <si>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</si>
  <si>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</si>
  <si>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</si>
  <si>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</si>
  <si>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</si>
  <si>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</si>
  <si>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</si>
  <si>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</si>
  <si>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</si>
  <si>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</si>
  <si>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</si>
  <si>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</si>
  <si>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</si>
  <si>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</si>
  <si>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</si>
  <si>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</si>
  <si>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</si>
  <si>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</si>
  <si>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</si>
  <si>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</si>
  <si>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</si>
  <si>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</si>
  <si>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</si>
  <si>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</si>
  <si>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</si>
  <si>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</si>
  <si>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</si>
  <si>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</si>
  <si>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</si>
  <si>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</si>
  <si>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</si>
  <si>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</si>
  <si>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</si>
  <si>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Šindel střešní samolepicí  1000x318 mm</t>
  </si>
  <si>
    <t>Větrák hřebenový  dl. 1,22 m</t>
  </si>
  <si>
    <t>Pás větrací okapní plastový</t>
  </si>
  <si>
    <t>Pás podkladní    1 x 30 m</t>
  </si>
  <si>
    <t>Pás hřebenový/úžlabní lepicí</t>
  </si>
  <si>
    <t>Nátěr tesařských konstrukcí proti houbám a dřevokaz.hm. 2x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</si>
</sst>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3" borderId="26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right" vertical="center"/>
      <protection/>
    </xf>
    <xf numFmtId="49" fontId="11" fillId="0" borderId="26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0" fillId="33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49" fontId="10" fillId="33" borderId="34" xfId="0" applyNumberFormat="1" applyFont="1" applyFill="1" applyBorder="1" applyAlignment="1" applyProtection="1">
      <alignment horizontal="left" vertical="center"/>
      <protection/>
    </xf>
    <xf numFmtId="0" fontId="10" fillId="33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tabSelected="1" zoomScalePageLayoutView="0" workbookViewId="0" topLeftCell="A10">
      <selection activeCell="D45" sqref="D4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3.28125" style="0" customWidth="1"/>
    <col min="5" max="5" width="5.71093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12.75">
      <c r="A2" s="61" t="s">
        <v>1</v>
      </c>
      <c r="B2" s="62"/>
      <c r="C2" s="62"/>
      <c r="D2" s="65" t="s">
        <v>84</v>
      </c>
      <c r="E2" s="67" t="s">
        <v>129</v>
      </c>
      <c r="F2" s="62"/>
      <c r="G2" s="67"/>
      <c r="H2" s="62"/>
      <c r="I2" s="68" t="s">
        <v>145</v>
      </c>
      <c r="J2" s="68" t="s">
        <v>150</v>
      </c>
      <c r="K2" s="62"/>
      <c r="L2" s="62"/>
      <c r="M2" s="69"/>
      <c r="N2" s="33"/>
    </row>
    <row r="3" spans="1:14" ht="12.75">
      <c r="A3" s="63"/>
      <c r="B3" s="64"/>
      <c r="C3" s="64"/>
      <c r="D3" s="66"/>
      <c r="E3" s="64"/>
      <c r="F3" s="64"/>
      <c r="G3" s="64"/>
      <c r="H3" s="64"/>
      <c r="I3" s="64"/>
      <c r="J3" s="64"/>
      <c r="K3" s="64"/>
      <c r="L3" s="64"/>
      <c r="M3" s="70"/>
      <c r="N3" s="33"/>
    </row>
    <row r="4" spans="1:14" ht="12.75">
      <c r="A4" s="71" t="s">
        <v>2</v>
      </c>
      <c r="B4" s="64"/>
      <c r="C4" s="64"/>
      <c r="D4" s="72" t="s">
        <v>85</v>
      </c>
      <c r="E4" s="73" t="s">
        <v>130</v>
      </c>
      <c r="F4" s="64"/>
      <c r="G4" s="73" t="s">
        <v>6</v>
      </c>
      <c r="H4" s="64"/>
      <c r="I4" s="72" t="s">
        <v>146</v>
      </c>
      <c r="J4" s="72" t="s">
        <v>151</v>
      </c>
      <c r="K4" s="64"/>
      <c r="L4" s="64"/>
      <c r="M4" s="70"/>
      <c r="N4" s="33"/>
    </row>
    <row r="5" spans="1:14" ht="12.7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70"/>
      <c r="N5" s="33"/>
    </row>
    <row r="6" spans="1:14" ht="12.75">
      <c r="A6" s="71" t="s">
        <v>3</v>
      </c>
      <c r="B6" s="64"/>
      <c r="C6" s="64"/>
      <c r="D6" s="72" t="s">
        <v>86</v>
      </c>
      <c r="E6" s="73" t="s">
        <v>131</v>
      </c>
      <c r="F6" s="64"/>
      <c r="G6" s="64"/>
      <c r="H6" s="64"/>
      <c r="I6" s="72" t="s">
        <v>147</v>
      </c>
      <c r="J6" s="72"/>
      <c r="K6" s="64"/>
      <c r="L6" s="64"/>
      <c r="M6" s="70"/>
      <c r="N6" s="33"/>
    </row>
    <row r="7" spans="1:14" ht="12.7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70"/>
      <c r="N7" s="33"/>
    </row>
    <row r="8" spans="1:14" ht="12.75">
      <c r="A8" s="71" t="s">
        <v>4</v>
      </c>
      <c r="B8" s="64"/>
      <c r="C8" s="64"/>
      <c r="D8" s="72"/>
      <c r="E8" s="73" t="s">
        <v>132</v>
      </c>
      <c r="F8" s="64"/>
      <c r="G8" s="76">
        <v>42494</v>
      </c>
      <c r="H8" s="64"/>
      <c r="I8" s="72" t="s">
        <v>148</v>
      </c>
      <c r="J8" s="72" t="s">
        <v>152</v>
      </c>
      <c r="K8" s="64"/>
      <c r="L8" s="64"/>
      <c r="M8" s="70"/>
      <c r="N8" s="33"/>
    </row>
    <row r="9" spans="1:14" ht="12.7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7"/>
      <c r="N9" s="33"/>
    </row>
    <row r="10" spans="1:14" ht="12.75">
      <c r="A10" s="1" t="s">
        <v>5</v>
      </c>
      <c r="B10" s="10" t="s">
        <v>42</v>
      </c>
      <c r="C10" s="10" t="s">
        <v>43</v>
      </c>
      <c r="D10" s="10" t="s">
        <v>87</v>
      </c>
      <c r="E10" s="10" t="s">
        <v>133</v>
      </c>
      <c r="F10" s="17" t="s">
        <v>139</v>
      </c>
      <c r="G10" s="21" t="s">
        <v>140</v>
      </c>
      <c r="H10" s="78" t="s">
        <v>142</v>
      </c>
      <c r="I10" s="79"/>
      <c r="J10" s="80"/>
      <c r="K10" s="78" t="s">
        <v>154</v>
      </c>
      <c r="L10" s="80"/>
      <c r="M10" s="28" t="s">
        <v>155</v>
      </c>
      <c r="N10" s="34"/>
    </row>
    <row r="11" spans="1:24" ht="12.75">
      <c r="A11" s="2" t="s">
        <v>6</v>
      </c>
      <c r="B11" s="11" t="s">
        <v>6</v>
      </c>
      <c r="C11" s="11" t="s">
        <v>6</v>
      </c>
      <c r="D11" s="15" t="s">
        <v>88</v>
      </c>
      <c r="E11" s="11" t="s">
        <v>6</v>
      </c>
      <c r="F11" s="11" t="s">
        <v>6</v>
      </c>
      <c r="G11" s="22" t="s">
        <v>141</v>
      </c>
      <c r="H11" s="23" t="s">
        <v>143</v>
      </c>
      <c r="I11" s="24" t="s">
        <v>149</v>
      </c>
      <c r="J11" s="25" t="s">
        <v>153</v>
      </c>
      <c r="K11" s="23" t="s">
        <v>140</v>
      </c>
      <c r="L11" s="25" t="s">
        <v>153</v>
      </c>
      <c r="M11" s="29" t="s">
        <v>156</v>
      </c>
      <c r="N11" s="34"/>
      <c r="P11" s="27" t="s">
        <v>159</v>
      </c>
      <c r="Q11" s="27" t="s">
        <v>160</v>
      </c>
      <c r="R11" s="27" t="s">
        <v>164</v>
      </c>
      <c r="S11" s="27" t="s">
        <v>165</v>
      </c>
      <c r="T11" s="27" t="s">
        <v>166</v>
      </c>
      <c r="U11" s="27" t="s">
        <v>167</v>
      </c>
      <c r="V11" s="27" t="s">
        <v>168</v>
      </c>
      <c r="W11" s="27" t="s">
        <v>169</v>
      </c>
      <c r="X11" s="27" t="s">
        <v>170</v>
      </c>
    </row>
    <row r="12" spans="1:37" ht="12.75">
      <c r="A12" s="3"/>
      <c r="B12" s="12"/>
      <c r="C12" s="12" t="s">
        <v>44</v>
      </c>
      <c r="D12" s="81" t="s">
        <v>89</v>
      </c>
      <c r="E12" s="82"/>
      <c r="F12" s="82"/>
      <c r="G12" s="82"/>
      <c r="H12" s="37">
        <f>SUM(H13:H21)</f>
        <v>0</v>
      </c>
      <c r="I12" s="37">
        <f>SUM(I13:I21)</f>
        <v>0</v>
      </c>
      <c r="J12" s="37">
        <f>H12+I12</f>
        <v>0</v>
      </c>
      <c r="K12" s="26"/>
      <c r="L12" s="37">
        <f>SUM(L13:L21)</f>
        <v>6.413788</v>
      </c>
      <c r="M12" s="26"/>
      <c r="P12" s="38">
        <f>IF(Q12="PR",J12,SUM(O13:O21))</f>
        <v>0</v>
      </c>
      <c r="Q12" s="27" t="s">
        <v>161</v>
      </c>
      <c r="R12" s="38">
        <f>IF(Q12="HS",H12,0)</f>
        <v>0</v>
      </c>
      <c r="S12" s="38">
        <f>IF(Q12="HS",I12-P12,0)</f>
        <v>0</v>
      </c>
      <c r="T12" s="38">
        <f>IF(Q12="PS",H12,0)</f>
        <v>0</v>
      </c>
      <c r="U12" s="38">
        <f>IF(Q12="PS",I12-P12,0)</f>
        <v>0</v>
      </c>
      <c r="V12" s="38">
        <f>IF(Q12="MP",H12,0)</f>
        <v>0</v>
      </c>
      <c r="W12" s="38">
        <f>IF(Q12="MP",I12-P12,0)</f>
        <v>0</v>
      </c>
      <c r="X12" s="38">
        <f>IF(Q12="OM",H12,0)</f>
        <v>0</v>
      </c>
      <c r="Y12" s="27"/>
      <c r="AI12" s="38">
        <f>SUM(Z13:Z21)</f>
        <v>0</v>
      </c>
      <c r="AJ12" s="38">
        <f>SUM(AA13:AA21)</f>
        <v>0</v>
      </c>
      <c r="AK12" s="38">
        <f>SUM(AB13:AB21)</f>
        <v>0</v>
      </c>
    </row>
    <row r="13" spans="1:43" ht="12.75">
      <c r="A13" s="4" t="s">
        <v>7</v>
      </c>
      <c r="B13" s="4"/>
      <c r="C13" s="4" t="s">
        <v>45</v>
      </c>
      <c r="D13" s="4" t="s">
        <v>90</v>
      </c>
      <c r="E13" s="4" t="s">
        <v>134</v>
      </c>
      <c r="F13" s="18">
        <v>570</v>
      </c>
      <c r="G13" s="18">
        <v>0</v>
      </c>
      <c r="H13" s="18">
        <f aca="true" t="shared" si="0" ref="H13:H19">ROUND(F13*AE13,2)</f>
        <v>0</v>
      </c>
      <c r="I13" s="18">
        <f aca="true" t="shared" si="1" ref="I13:I19">J13-H13</f>
        <v>0</v>
      </c>
      <c r="J13" s="18">
        <f aca="true" t="shared" si="2" ref="J13:J19">ROUND(F13*G13,2)</f>
        <v>0</v>
      </c>
      <c r="K13" s="18">
        <v>0.00017</v>
      </c>
      <c r="L13" s="18">
        <f aca="true" t="shared" si="3" ref="L13:L19">F13*K13</f>
        <v>0.09690000000000001</v>
      </c>
      <c r="M13" s="30" t="s">
        <v>157</v>
      </c>
      <c r="N13" s="30" t="s">
        <v>7</v>
      </c>
      <c r="O13" s="18">
        <f aca="true" t="shared" si="4" ref="O13:O19">IF(N13="5",I13,0)</f>
        <v>0</v>
      </c>
      <c r="Z13" s="18">
        <f aca="true" t="shared" si="5" ref="Z13:Z19">IF(AD13=0,J13,0)</f>
        <v>0</v>
      </c>
      <c r="AA13" s="18">
        <f aca="true" t="shared" si="6" ref="AA13:AA19">IF(AD13=15,J13,0)</f>
        <v>0</v>
      </c>
      <c r="AB13" s="18">
        <f aca="true" t="shared" si="7" ref="AB13:AB19">IF(AD13=21,J13,0)</f>
        <v>0</v>
      </c>
      <c r="AD13" s="35">
        <v>15</v>
      </c>
      <c r="AE13" s="35">
        <f>G13*0.226848944495435</f>
        <v>0</v>
      </c>
      <c r="AF13" s="35">
        <f>G13*(1-0.226848944495435)</f>
        <v>0</v>
      </c>
      <c r="AM13" s="35">
        <f aca="true" t="shared" si="8" ref="AM13:AM19">F13*AE13</f>
        <v>0</v>
      </c>
      <c r="AN13" s="35">
        <f aca="true" t="shared" si="9" ref="AN13:AN19">F13*AF13</f>
        <v>0</v>
      </c>
      <c r="AO13" s="36" t="s">
        <v>171</v>
      </c>
      <c r="AP13" s="36" t="s">
        <v>178</v>
      </c>
      <c r="AQ13" s="27" t="s">
        <v>182</v>
      </c>
    </row>
    <row r="14" spans="1:43" ht="12.75">
      <c r="A14" s="5" t="s">
        <v>8</v>
      </c>
      <c r="B14" s="5"/>
      <c r="C14" s="5" t="s">
        <v>46</v>
      </c>
      <c r="D14" s="5" t="s">
        <v>227</v>
      </c>
      <c r="E14" s="5" t="s">
        <v>134</v>
      </c>
      <c r="F14" s="19">
        <v>650</v>
      </c>
      <c r="G14" s="19">
        <v>0</v>
      </c>
      <c r="H14" s="19">
        <f t="shared" si="0"/>
        <v>0</v>
      </c>
      <c r="I14" s="19">
        <f t="shared" si="1"/>
        <v>0</v>
      </c>
      <c r="J14" s="19">
        <f t="shared" si="2"/>
        <v>0</v>
      </c>
      <c r="K14" s="19">
        <v>0.0092</v>
      </c>
      <c r="L14" s="19">
        <f t="shared" si="3"/>
        <v>5.9799999999999995</v>
      </c>
      <c r="M14" s="31" t="s">
        <v>157</v>
      </c>
      <c r="N14" s="31" t="s">
        <v>158</v>
      </c>
      <c r="O14" s="19">
        <f t="shared" si="4"/>
        <v>0</v>
      </c>
      <c r="Z14" s="19">
        <f t="shared" si="5"/>
        <v>0</v>
      </c>
      <c r="AA14" s="19">
        <f t="shared" si="6"/>
        <v>0</v>
      </c>
      <c r="AB14" s="19">
        <f t="shared" si="7"/>
        <v>0</v>
      </c>
      <c r="AD14" s="35">
        <v>15</v>
      </c>
      <c r="AE14" s="35">
        <f>G14*1</f>
        <v>0</v>
      </c>
      <c r="AF14" s="35">
        <f>G14*(1-1)</f>
        <v>0</v>
      </c>
      <c r="AM14" s="35">
        <f t="shared" si="8"/>
        <v>0</v>
      </c>
      <c r="AN14" s="35">
        <f t="shared" si="9"/>
        <v>0</v>
      </c>
      <c r="AO14" s="36" t="s">
        <v>171</v>
      </c>
      <c r="AP14" s="36" t="s">
        <v>178</v>
      </c>
      <c r="AQ14" s="27" t="s">
        <v>182</v>
      </c>
    </row>
    <row r="15" spans="1:43" ht="12.75">
      <c r="A15" s="5" t="s">
        <v>9</v>
      </c>
      <c r="B15" s="5"/>
      <c r="C15" s="5" t="s">
        <v>47</v>
      </c>
      <c r="D15" s="5" t="s">
        <v>228</v>
      </c>
      <c r="E15" s="5" t="s">
        <v>135</v>
      </c>
      <c r="F15" s="19">
        <v>50</v>
      </c>
      <c r="G15" s="19">
        <v>0</v>
      </c>
      <c r="H15" s="19">
        <f t="shared" si="0"/>
        <v>0</v>
      </c>
      <c r="I15" s="19">
        <f t="shared" si="1"/>
        <v>0</v>
      </c>
      <c r="J15" s="19">
        <f t="shared" si="2"/>
        <v>0</v>
      </c>
      <c r="K15" s="19">
        <v>0.0009</v>
      </c>
      <c r="L15" s="19">
        <f t="shared" si="3"/>
        <v>0.045</v>
      </c>
      <c r="M15" s="31" t="s">
        <v>157</v>
      </c>
      <c r="N15" s="31" t="s">
        <v>158</v>
      </c>
      <c r="O15" s="19">
        <f t="shared" si="4"/>
        <v>0</v>
      </c>
      <c r="Z15" s="19">
        <f t="shared" si="5"/>
        <v>0</v>
      </c>
      <c r="AA15" s="19">
        <f t="shared" si="6"/>
        <v>0</v>
      </c>
      <c r="AB15" s="19">
        <f t="shared" si="7"/>
        <v>0</v>
      </c>
      <c r="AD15" s="35">
        <v>15</v>
      </c>
      <c r="AE15" s="35">
        <f>G15*1</f>
        <v>0</v>
      </c>
      <c r="AF15" s="35">
        <f>G15*(1-1)</f>
        <v>0</v>
      </c>
      <c r="AM15" s="35">
        <f t="shared" si="8"/>
        <v>0</v>
      </c>
      <c r="AN15" s="35">
        <f t="shared" si="9"/>
        <v>0</v>
      </c>
      <c r="AO15" s="36" t="s">
        <v>171</v>
      </c>
      <c r="AP15" s="36" t="s">
        <v>178</v>
      </c>
      <c r="AQ15" s="27" t="s">
        <v>182</v>
      </c>
    </row>
    <row r="16" spans="1:43" ht="12.75">
      <c r="A16" s="5" t="s">
        <v>10</v>
      </c>
      <c r="B16" s="5"/>
      <c r="C16" s="5" t="s">
        <v>48</v>
      </c>
      <c r="D16" s="5" t="s">
        <v>229</v>
      </c>
      <c r="E16" s="5" t="s">
        <v>135</v>
      </c>
      <c r="F16" s="19">
        <v>12</v>
      </c>
      <c r="G16" s="19">
        <v>0</v>
      </c>
      <c r="H16" s="19">
        <f t="shared" si="0"/>
        <v>0</v>
      </c>
      <c r="I16" s="19">
        <f t="shared" si="1"/>
        <v>0</v>
      </c>
      <c r="J16" s="19">
        <f t="shared" si="2"/>
        <v>0</v>
      </c>
      <c r="K16" s="19">
        <v>0.0005</v>
      </c>
      <c r="L16" s="19">
        <f t="shared" si="3"/>
        <v>0.006</v>
      </c>
      <c r="M16" s="31" t="s">
        <v>157</v>
      </c>
      <c r="N16" s="31" t="s">
        <v>158</v>
      </c>
      <c r="O16" s="19">
        <f t="shared" si="4"/>
        <v>0</v>
      </c>
      <c r="Z16" s="19">
        <f t="shared" si="5"/>
        <v>0</v>
      </c>
      <c r="AA16" s="19">
        <f t="shared" si="6"/>
        <v>0</v>
      </c>
      <c r="AB16" s="19">
        <f t="shared" si="7"/>
        <v>0</v>
      </c>
      <c r="AD16" s="35">
        <v>15</v>
      </c>
      <c r="AE16" s="35">
        <f>G16*1</f>
        <v>0</v>
      </c>
      <c r="AF16" s="35">
        <f>G16*(1-1)</f>
        <v>0</v>
      </c>
      <c r="AM16" s="35">
        <f t="shared" si="8"/>
        <v>0</v>
      </c>
      <c r="AN16" s="35">
        <f t="shared" si="9"/>
        <v>0</v>
      </c>
      <c r="AO16" s="36" t="s">
        <v>171</v>
      </c>
      <c r="AP16" s="36" t="s">
        <v>178</v>
      </c>
      <c r="AQ16" s="27" t="s">
        <v>182</v>
      </c>
    </row>
    <row r="17" spans="1:43" ht="12.75">
      <c r="A17" s="4" t="s">
        <v>11</v>
      </c>
      <c r="B17" s="4"/>
      <c r="C17" s="4" t="s">
        <v>49</v>
      </c>
      <c r="D17" s="4" t="s">
        <v>91</v>
      </c>
      <c r="E17" s="4" t="s">
        <v>134</v>
      </c>
      <c r="F17" s="18">
        <v>570</v>
      </c>
      <c r="G17" s="18">
        <v>0</v>
      </c>
      <c r="H17" s="18">
        <f t="shared" si="0"/>
        <v>0</v>
      </c>
      <c r="I17" s="18">
        <f t="shared" si="1"/>
        <v>0</v>
      </c>
      <c r="J17" s="18">
        <f t="shared" si="2"/>
        <v>0</v>
      </c>
      <c r="K17" s="18">
        <v>4E-05</v>
      </c>
      <c r="L17" s="18">
        <f t="shared" si="3"/>
        <v>0.0228</v>
      </c>
      <c r="M17" s="30" t="s">
        <v>157</v>
      </c>
      <c r="N17" s="30" t="s">
        <v>7</v>
      </c>
      <c r="O17" s="18">
        <f t="shared" si="4"/>
        <v>0</v>
      </c>
      <c r="Z17" s="18">
        <f t="shared" si="5"/>
        <v>0</v>
      </c>
      <c r="AA17" s="18">
        <f t="shared" si="6"/>
        <v>0</v>
      </c>
      <c r="AB17" s="18">
        <f t="shared" si="7"/>
        <v>0</v>
      </c>
      <c r="AD17" s="35">
        <v>15</v>
      </c>
      <c r="AE17" s="35">
        <f>G17*0.151851851851852</f>
        <v>0</v>
      </c>
      <c r="AF17" s="35">
        <f>G17*(1-0.151851851851852)</f>
        <v>0</v>
      </c>
      <c r="AM17" s="35">
        <f t="shared" si="8"/>
        <v>0</v>
      </c>
      <c r="AN17" s="35">
        <f t="shared" si="9"/>
        <v>0</v>
      </c>
      <c r="AO17" s="36" t="s">
        <v>171</v>
      </c>
      <c r="AP17" s="36" t="s">
        <v>178</v>
      </c>
      <c r="AQ17" s="27" t="s">
        <v>182</v>
      </c>
    </row>
    <row r="18" spans="1:43" ht="12.75">
      <c r="A18" s="5" t="s">
        <v>12</v>
      </c>
      <c r="B18" s="5"/>
      <c r="C18" s="5" t="s">
        <v>50</v>
      </c>
      <c r="D18" s="5" t="s">
        <v>230</v>
      </c>
      <c r="E18" s="5" t="s">
        <v>134</v>
      </c>
      <c r="F18" s="19">
        <v>655</v>
      </c>
      <c r="G18" s="19">
        <v>0</v>
      </c>
      <c r="H18" s="19">
        <f t="shared" si="0"/>
        <v>0</v>
      </c>
      <c r="I18" s="19">
        <f t="shared" si="1"/>
        <v>0</v>
      </c>
      <c r="J18" s="19">
        <f t="shared" si="2"/>
        <v>0</v>
      </c>
      <c r="K18" s="19">
        <v>0.00038</v>
      </c>
      <c r="L18" s="19">
        <f t="shared" si="3"/>
        <v>0.2489</v>
      </c>
      <c r="M18" s="31" t="s">
        <v>157</v>
      </c>
      <c r="N18" s="31" t="s">
        <v>158</v>
      </c>
      <c r="O18" s="19">
        <f t="shared" si="4"/>
        <v>0</v>
      </c>
      <c r="Z18" s="19">
        <f t="shared" si="5"/>
        <v>0</v>
      </c>
      <c r="AA18" s="19">
        <f t="shared" si="6"/>
        <v>0</v>
      </c>
      <c r="AB18" s="19">
        <f t="shared" si="7"/>
        <v>0</v>
      </c>
      <c r="AD18" s="35">
        <v>15</v>
      </c>
      <c r="AE18" s="35">
        <f>G18*1</f>
        <v>0</v>
      </c>
      <c r="AF18" s="35">
        <f>G18*(1-1)</f>
        <v>0</v>
      </c>
      <c r="AM18" s="35">
        <f t="shared" si="8"/>
        <v>0</v>
      </c>
      <c r="AN18" s="35">
        <f t="shared" si="9"/>
        <v>0</v>
      </c>
      <c r="AO18" s="36" t="s">
        <v>171</v>
      </c>
      <c r="AP18" s="36" t="s">
        <v>178</v>
      </c>
      <c r="AQ18" s="27" t="s">
        <v>182</v>
      </c>
    </row>
    <row r="19" spans="1:43" ht="12.75">
      <c r="A19" s="4" t="s">
        <v>13</v>
      </c>
      <c r="B19" s="4"/>
      <c r="C19" s="4" t="s">
        <v>51</v>
      </c>
      <c r="D19" s="4" t="s">
        <v>92</v>
      </c>
      <c r="E19" s="4" t="s">
        <v>136</v>
      </c>
      <c r="F19" s="18">
        <v>32.8</v>
      </c>
      <c r="G19" s="18">
        <v>0</v>
      </c>
      <c r="H19" s="18">
        <f t="shared" si="0"/>
        <v>0</v>
      </c>
      <c r="I19" s="18">
        <f t="shared" si="1"/>
        <v>0</v>
      </c>
      <c r="J19" s="18">
        <f t="shared" si="2"/>
        <v>0</v>
      </c>
      <c r="K19" s="18">
        <v>0.00041</v>
      </c>
      <c r="L19" s="18">
        <f t="shared" si="3"/>
        <v>0.013447999999999998</v>
      </c>
      <c r="M19" s="30" t="s">
        <v>157</v>
      </c>
      <c r="N19" s="30" t="s">
        <v>7</v>
      </c>
      <c r="O19" s="18">
        <f t="shared" si="4"/>
        <v>0</v>
      </c>
      <c r="Z19" s="18">
        <f t="shared" si="5"/>
        <v>0</v>
      </c>
      <c r="AA19" s="18">
        <f t="shared" si="6"/>
        <v>0</v>
      </c>
      <c r="AB19" s="18">
        <f t="shared" si="7"/>
        <v>0</v>
      </c>
      <c r="AD19" s="35">
        <v>15</v>
      </c>
      <c r="AE19" s="35">
        <f>G19*0.73717549325026</f>
        <v>0</v>
      </c>
      <c r="AF19" s="35">
        <f>G19*(1-0.73717549325026)</f>
        <v>0</v>
      </c>
      <c r="AM19" s="35">
        <f t="shared" si="8"/>
        <v>0</v>
      </c>
      <c r="AN19" s="35">
        <f t="shared" si="9"/>
        <v>0</v>
      </c>
      <c r="AO19" s="36" t="s">
        <v>171</v>
      </c>
      <c r="AP19" s="36" t="s">
        <v>178</v>
      </c>
      <c r="AQ19" s="27" t="s">
        <v>182</v>
      </c>
    </row>
    <row r="20" spans="1:43" ht="12.75">
      <c r="A20" s="5" t="s">
        <v>14</v>
      </c>
      <c r="B20" s="5"/>
      <c r="C20" s="5" t="s">
        <v>52</v>
      </c>
      <c r="D20" s="5" t="s">
        <v>231</v>
      </c>
      <c r="E20" s="5" t="s">
        <v>136</v>
      </c>
      <c r="F20" s="19">
        <v>37</v>
      </c>
      <c r="G20" s="19">
        <v>0</v>
      </c>
      <c r="H20" s="19">
        <f>ROUND(F20*AE20,2)</f>
        <v>0</v>
      </c>
      <c r="I20" s="19">
        <f>J20-H20</f>
        <v>0</v>
      </c>
      <c r="J20" s="19">
        <f>ROUND(F20*G20,2)</f>
        <v>0</v>
      </c>
      <c r="K20" s="19">
        <v>2E-05</v>
      </c>
      <c r="L20" s="19">
        <f>F20*K20</f>
        <v>0.0007400000000000001</v>
      </c>
      <c r="M20" s="31" t="s">
        <v>157</v>
      </c>
      <c r="N20" s="31" t="s">
        <v>158</v>
      </c>
      <c r="O20" s="19">
        <f>IF(N20="5",I20,0)</f>
        <v>0</v>
      </c>
      <c r="Z20" s="19">
        <f>IF(AD20=0,J20,0)</f>
        <v>0</v>
      </c>
      <c r="AA20" s="19">
        <f>IF(AD20=15,J20,0)</f>
        <v>0</v>
      </c>
      <c r="AB20" s="19">
        <f>IF(AD20=21,J20,0)</f>
        <v>0</v>
      </c>
      <c r="AD20" s="35">
        <v>15</v>
      </c>
      <c r="AE20" s="35">
        <f>G20*1</f>
        <v>0</v>
      </c>
      <c r="AF20" s="35">
        <f>G20*(1-1)</f>
        <v>0</v>
      </c>
      <c r="AM20" s="35">
        <f>F20*AE20</f>
        <v>0</v>
      </c>
      <c r="AN20" s="35">
        <f>F20*AF20</f>
        <v>0</v>
      </c>
      <c r="AO20" s="36" t="s">
        <v>171</v>
      </c>
      <c r="AP20" s="36" t="s">
        <v>178</v>
      </c>
      <c r="AQ20" s="27" t="s">
        <v>182</v>
      </c>
    </row>
    <row r="21" spans="1:43" ht="12.75">
      <c r="A21" s="4" t="s">
        <v>15</v>
      </c>
      <c r="B21" s="4"/>
      <c r="C21" s="4" t="s">
        <v>53</v>
      </c>
      <c r="D21" s="4" t="s">
        <v>93</v>
      </c>
      <c r="E21" s="4" t="s">
        <v>137</v>
      </c>
      <c r="F21" s="18">
        <v>6.41379</v>
      </c>
      <c r="G21" s="18">
        <v>0</v>
      </c>
      <c r="H21" s="18">
        <f>ROUND(F21*AE21,2)</f>
        <v>0</v>
      </c>
      <c r="I21" s="18">
        <f>J21-H21</f>
        <v>0</v>
      </c>
      <c r="J21" s="18">
        <f>ROUND(F21*G21,2)</f>
        <v>0</v>
      </c>
      <c r="K21" s="18">
        <v>0</v>
      </c>
      <c r="L21" s="18">
        <f>F21*K21</f>
        <v>0</v>
      </c>
      <c r="M21" s="30" t="s">
        <v>157</v>
      </c>
      <c r="N21" s="30" t="s">
        <v>11</v>
      </c>
      <c r="O21" s="18">
        <f>IF(N21="5",I21,0)</f>
        <v>0</v>
      </c>
      <c r="Z21" s="18">
        <f>IF(AD21=0,J21,0)</f>
        <v>0</v>
      </c>
      <c r="AA21" s="18">
        <f>IF(AD21=15,J21,0)</f>
        <v>0</v>
      </c>
      <c r="AB21" s="18">
        <f>IF(AD21=21,J21,0)</f>
        <v>0</v>
      </c>
      <c r="AD21" s="35">
        <v>15</v>
      </c>
      <c r="AE21" s="35">
        <f>G21*0</f>
        <v>0</v>
      </c>
      <c r="AF21" s="35">
        <f>G21*(1-0)</f>
        <v>0</v>
      </c>
      <c r="AM21" s="35">
        <f>F21*AE21</f>
        <v>0</v>
      </c>
      <c r="AN21" s="35">
        <f>F21*AF21</f>
        <v>0</v>
      </c>
      <c r="AO21" s="36" t="s">
        <v>171</v>
      </c>
      <c r="AP21" s="36" t="s">
        <v>178</v>
      </c>
      <c r="AQ21" s="27" t="s">
        <v>182</v>
      </c>
    </row>
    <row r="22" spans="1:37" ht="12.75">
      <c r="A22" s="6"/>
      <c r="B22" s="13"/>
      <c r="C22" s="13" t="s">
        <v>54</v>
      </c>
      <c r="D22" s="83" t="s">
        <v>94</v>
      </c>
      <c r="E22" s="84"/>
      <c r="F22" s="84"/>
      <c r="G22" s="84"/>
      <c r="H22" s="38">
        <f>SUM(H23:H27)</f>
        <v>0</v>
      </c>
      <c r="I22" s="38">
        <f>SUM(I23:I27)</f>
        <v>0</v>
      </c>
      <c r="J22" s="38">
        <f>H22+I22</f>
        <v>0</v>
      </c>
      <c r="K22" s="27"/>
      <c r="L22" s="38">
        <f>SUM(L23:L27)</f>
        <v>4.67757</v>
      </c>
      <c r="M22" s="27"/>
      <c r="P22" s="38">
        <f>IF(Q22="PR",J22,SUM(O23:O27))</f>
        <v>0</v>
      </c>
      <c r="Q22" s="27" t="s">
        <v>161</v>
      </c>
      <c r="R22" s="38">
        <f>IF(Q22="HS",H22,0)</f>
        <v>0</v>
      </c>
      <c r="S22" s="38">
        <f>IF(Q22="HS",I22-P22,0)</f>
        <v>0</v>
      </c>
      <c r="T22" s="38">
        <f>IF(Q22="PS",H22,0)</f>
        <v>0</v>
      </c>
      <c r="U22" s="38">
        <f>IF(Q22="PS",I22-P22,0)</f>
        <v>0</v>
      </c>
      <c r="V22" s="38">
        <f>IF(Q22="MP",H22,0)</f>
        <v>0</v>
      </c>
      <c r="W22" s="38">
        <f>IF(Q22="MP",I22-P22,0)</f>
        <v>0</v>
      </c>
      <c r="X22" s="38">
        <f>IF(Q22="OM",H22,0)</f>
        <v>0</v>
      </c>
      <c r="Y22" s="27"/>
      <c r="AI22" s="38">
        <f>SUM(Z23:Z27)</f>
        <v>0</v>
      </c>
      <c r="AJ22" s="38">
        <f>SUM(AA23:AA27)</f>
        <v>0</v>
      </c>
      <c r="AK22" s="38">
        <f>SUM(AB23:AB27)</f>
        <v>0</v>
      </c>
    </row>
    <row r="23" spans="1:43" ht="12.75">
      <c r="A23" s="4" t="s">
        <v>16</v>
      </c>
      <c r="B23" s="4"/>
      <c r="C23" s="4" t="s">
        <v>55</v>
      </c>
      <c r="D23" s="4" t="s">
        <v>95</v>
      </c>
      <c r="E23" s="4" t="s">
        <v>135</v>
      </c>
      <c r="F23" s="18">
        <v>3</v>
      </c>
      <c r="G23" s="18">
        <v>0</v>
      </c>
      <c r="H23" s="18">
        <f>ROUND(F23*AE23,2)</f>
        <v>0</v>
      </c>
      <c r="I23" s="18">
        <f>J23-H23</f>
        <v>0</v>
      </c>
      <c r="J23" s="18">
        <f>ROUND(F23*G23,2)</f>
        <v>0</v>
      </c>
      <c r="K23" s="18">
        <v>0.14369</v>
      </c>
      <c r="L23" s="18">
        <f>F23*K23</f>
        <v>0.43107000000000006</v>
      </c>
      <c r="M23" s="30" t="s">
        <v>157</v>
      </c>
      <c r="N23" s="30" t="s">
        <v>7</v>
      </c>
      <c r="O23" s="18">
        <f>IF(N23="5",I23,0)</f>
        <v>0</v>
      </c>
      <c r="Z23" s="18">
        <f>IF(AD23=0,J23,0)</f>
        <v>0</v>
      </c>
      <c r="AA23" s="18">
        <f>IF(AD23=15,J23,0)</f>
        <v>0</v>
      </c>
      <c r="AB23" s="18">
        <f>IF(AD23=21,J23,0)</f>
        <v>0</v>
      </c>
      <c r="AD23" s="35">
        <v>15</v>
      </c>
      <c r="AE23" s="35">
        <f>G23*0.170202750946128</f>
        <v>0</v>
      </c>
      <c r="AF23" s="35">
        <f>G23*(1-0.170202750946128)</f>
        <v>0</v>
      </c>
      <c r="AM23" s="35">
        <f>F23*AE23</f>
        <v>0</v>
      </c>
      <c r="AN23" s="35">
        <f>F23*AF23</f>
        <v>0</v>
      </c>
      <c r="AO23" s="36" t="s">
        <v>172</v>
      </c>
      <c r="AP23" s="36" t="s">
        <v>179</v>
      </c>
      <c r="AQ23" s="27" t="s">
        <v>182</v>
      </c>
    </row>
    <row r="24" spans="1:43" ht="12.75">
      <c r="A24" s="4" t="s">
        <v>17</v>
      </c>
      <c r="B24" s="4"/>
      <c r="C24" s="4" t="s">
        <v>56</v>
      </c>
      <c r="D24" s="4" t="s">
        <v>96</v>
      </c>
      <c r="E24" s="4" t="s">
        <v>134</v>
      </c>
      <c r="F24" s="18">
        <v>150</v>
      </c>
      <c r="G24" s="18">
        <v>0</v>
      </c>
      <c r="H24" s="18">
        <f>ROUND(F24*AE24,2)</f>
        <v>0</v>
      </c>
      <c r="I24" s="18">
        <f>J24-H24</f>
        <v>0</v>
      </c>
      <c r="J24" s="18">
        <f>ROUND(F24*G24,2)</f>
        <v>0</v>
      </c>
      <c r="K24" s="18">
        <v>0.01331</v>
      </c>
      <c r="L24" s="18">
        <f>F24*K24</f>
        <v>1.9965000000000002</v>
      </c>
      <c r="M24" s="30" t="s">
        <v>157</v>
      </c>
      <c r="N24" s="30" t="s">
        <v>7</v>
      </c>
      <c r="O24" s="18">
        <f>IF(N24="5",I24,0)</f>
        <v>0</v>
      </c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5">
        <v>15</v>
      </c>
      <c r="AE24" s="35">
        <f>G24*0.608385416666667</f>
        <v>0</v>
      </c>
      <c r="AF24" s="35">
        <f>G24*(1-0.608385416666667)</f>
        <v>0</v>
      </c>
      <c r="AM24" s="35">
        <f>F24*AE24</f>
        <v>0</v>
      </c>
      <c r="AN24" s="35">
        <f>F24*AF24</f>
        <v>0</v>
      </c>
      <c r="AO24" s="36" t="s">
        <v>172</v>
      </c>
      <c r="AP24" s="36" t="s">
        <v>179</v>
      </c>
      <c r="AQ24" s="27" t="s">
        <v>182</v>
      </c>
    </row>
    <row r="25" ht="12.75">
      <c r="D25" s="16" t="s">
        <v>97</v>
      </c>
    </row>
    <row r="26" spans="3:13" ht="12.75">
      <c r="C26" s="14" t="s">
        <v>41</v>
      </c>
      <c r="D26" s="85" t="s">
        <v>98</v>
      </c>
      <c r="E26" s="86"/>
      <c r="F26" s="86"/>
      <c r="G26" s="86"/>
      <c r="H26" s="86"/>
      <c r="I26" s="86"/>
      <c r="J26" s="86"/>
      <c r="K26" s="86"/>
      <c r="L26" s="86"/>
      <c r="M26" s="86"/>
    </row>
    <row r="27" spans="1:43" ht="12.75">
      <c r="A27" s="4" t="s">
        <v>18</v>
      </c>
      <c r="B27" s="4"/>
      <c r="C27" s="4" t="s">
        <v>57</v>
      </c>
      <c r="D27" s="4" t="s">
        <v>99</v>
      </c>
      <c r="E27" s="4" t="s">
        <v>134</v>
      </c>
      <c r="F27" s="18">
        <v>150</v>
      </c>
      <c r="G27" s="18">
        <v>0</v>
      </c>
      <c r="H27" s="18">
        <f>ROUND(F27*AE27,2)</f>
        <v>0</v>
      </c>
      <c r="I27" s="18">
        <f>J27-H27</f>
        <v>0</v>
      </c>
      <c r="J27" s="18">
        <f>ROUND(F27*G27,2)</f>
        <v>0</v>
      </c>
      <c r="K27" s="18">
        <v>0.015</v>
      </c>
      <c r="L27" s="18">
        <f>F27*K27</f>
        <v>2.25</v>
      </c>
      <c r="M27" s="30" t="s">
        <v>157</v>
      </c>
      <c r="N27" s="30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5">
        <v>15</v>
      </c>
      <c r="AE27" s="35">
        <f>G27*0</f>
        <v>0</v>
      </c>
      <c r="AF27" s="35">
        <f>G27*(1-0)</f>
        <v>0</v>
      </c>
      <c r="AM27" s="35">
        <f>F27*AE27</f>
        <v>0</v>
      </c>
      <c r="AN27" s="35">
        <f>F27*AF27</f>
        <v>0</v>
      </c>
      <c r="AO27" s="36" t="s">
        <v>172</v>
      </c>
      <c r="AP27" s="36" t="s">
        <v>179</v>
      </c>
      <c r="AQ27" s="27" t="s">
        <v>182</v>
      </c>
    </row>
    <row r="28" spans="1:37" ht="12.75">
      <c r="A28" s="6"/>
      <c r="B28" s="13"/>
      <c r="C28" s="13" t="s">
        <v>58</v>
      </c>
      <c r="D28" s="83" t="s">
        <v>100</v>
      </c>
      <c r="E28" s="84"/>
      <c r="F28" s="84"/>
      <c r="G28" s="84"/>
      <c r="H28" s="38">
        <f>SUM(H29:H41)</f>
        <v>0</v>
      </c>
      <c r="I28" s="38">
        <f>SUM(I29:I41)</f>
        <v>0</v>
      </c>
      <c r="J28" s="38">
        <f>H28+I28</f>
        <v>0</v>
      </c>
      <c r="K28" s="27"/>
      <c r="L28" s="38">
        <f>SUM(L29:L41)</f>
        <v>5.145857000000001</v>
      </c>
      <c r="M28" s="27"/>
      <c r="P28" s="38">
        <f>IF(Q28="PR",J28,SUM(O29:O41))</f>
        <v>0</v>
      </c>
      <c r="Q28" s="27" t="s">
        <v>161</v>
      </c>
      <c r="R28" s="38">
        <f>IF(Q28="HS",H28,0)</f>
        <v>0</v>
      </c>
      <c r="S28" s="38">
        <f>IF(Q28="HS",I28-P28,0)</f>
        <v>0</v>
      </c>
      <c r="T28" s="38">
        <f>IF(Q28="PS",H28,0)</f>
        <v>0</v>
      </c>
      <c r="U28" s="38">
        <f>IF(Q28="PS",I28-P28,0)</f>
        <v>0</v>
      </c>
      <c r="V28" s="38">
        <f>IF(Q28="MP",H28,0)</f>
        <v>0</v>
      </c>
      <c r="W28" s="38">
        <f>IF(Q28="MP",I28-P28,0)</f>
        <v>0</v>
      </c>
      <c r="X28" s="38">
        <f>IF(Q28="OM",H28,0)</f>
        <v>0</v>
      </c>
      <c r="Y28" s="27"/>
      <c r="AI28" s="38">
        <f>SUM(Z29:Z41)</f>
        <v>0</v>
      </c>
      <c r="AJ28" s="38">
        <f>SUM(AA29:AA41)</f>
        <v>0</v>
      </c>
      <c r="AK28" s="38">
        <f>SUM(AB29:AB41)</f>
        <v>0</v>
      </c>
    </row>
    <row r="29" spans="1:43" ht="12.75">
      <c r="A29" s="4" t="s">
        <v>19</v>
      </c>
      <c r="B29" s="4"/>
      <c r="C29" s="4" t="s">
        <v>59</v>
      </c>
      <c r="D29" s="4" t="s">
        <v>101</v>
      </c>
      <c r="E29" s="4" t="s">
        <v>134</v>
      </c>
      <c r="F29" s="18">
        <v>570</v>
      </c>
      <c r="G29" s="18">
        <v>0</v>
      </c>
      <c r="H29" s="18">
        <f aca="true" t="shared" si="10" ref="H29:H34">ROUND(F29*AE29,2)</f>
        <v>0</v>
      </c>
      <c r="I29" s="18">
        <f aca="true" t="shared" si="11" ref="I29:I34">J29-H29</f>
        <v>0</v>
      </c>
      <c r="J29" s="18">
        <f aca="true" t="shared" si="12" ref="J29:J34">ROUND(F29*G29,2)</f>
        <v>0</v>
      </c>
      <c r="K29" s="18">
        <v>0.00751</v>
      </c>
      <c r="L29" s="18">
        <f aca="true" t="shared" si="13" ref="L29:L34">F29*K29</f>
        <v>4.2807</v>
      </c>
      <c r="M29" s="30" t="s">
        <v>157</v>
      </c>
      <c r="N29" s="30" t="s">
        <v>7</v>
      </c>
      <c r="O29" s="18">
        <f aca="true" t="shared" si="14" ref="O29:O34">IF(N29="5",I29,0)</f>
        <v>0</v>
      </c>
      <c r="Z29" s="18">
        <f aca="true" t="shared" si="15" ref="Z29:Z34">IF(AD29=0,J29,0)</f>
        <v>0</v>
      </c>
      <c r="AA29" s="18">
        <f aca="true" t="shared" si="16" ref="AA29:AA34">IF(AD29=15,J29,0)</f>
        <v>0</v>
      </c>
      <c r="AB29" s="18">
        <f aca="true" t="shared" si="17" ref="AB29:AB34">IF(AD29=21,J29,0)</f>
        <v>0</v>
      </c>
      <c r="AD29" s="35">
        <v>15</v>
      </c>
      <c r="AE29" s="35">
        <f aca="true" t="shared" si="18" ref="AE29:AE34">G29*0</f>
        <v>0</v>
      </c>
      <c r="AF29" s="35">
        <f aca="true" t="shared" si="19" ref="AF29:AF34">G29*(1-0)</f>
        <v>0</v>
      </c>
      <c r="AM29" s="35">
        <f aca="true" t="shared" si="20" ref="AM29:AM34">F29*AE29</f>
        <v>0</v>
      </c>
      <c r="AN29" s="35">
        <f aca="true" t="shared" si="21" ref="AN29:AN34">F29*AF29</f>
        <v>0</v>
      </c>
      <c r="AO29" s="36" t="s">
        <v>173</v>
      </c>
      <c r="AP29" s="36" t="s">
        <v>179</v>
      </c>
      <c r="AQ29" s="27" t="s">
        <v>182</v>
      </c>
    </row>
    <row r="30" spans="1:43" ht="12.75">
      <c r="A30" s="4" t="s">
        <v>20</v>
      </c>
      <c r="B30" s="4"/>
      <c r="C30" s="4" t="s">
        <v>60</v>
      </c>
      <c r="D30" s="4" t="s">
        <v>102</v>
      </c>
      <c r="E30" s="4" t="s">
        <v>136</v>
      </c>
      <c r="F30" s="18">
        <v>16.3</v>
      </c>
      <c r="G30" s="18">
        <v>0</v>
      </c>
      <c r="H30" s="18">
        <f t="shared" si="10"/>
        <v>0</v>
      </c>
      <c r="I30" s="18">
        <f t="shared" si="11"/>
        <v>0</v>
      </c>
      <c r="J30" s="18">
        <f t="shared" si="12"/>
        <v>0</v>
      </c>
      <c r="K30" s="18">
        <v>0.00205</v>
      </c>
      <c r="L30" s="18">
        <f t="shared" si="13"/>
        <v>0.03341500000000001</v>
      </c>
      <c r="M30" s="30" t="s">
        <v>157</v>
      </c>
      <c r="N30" s="30" t="s">
        <v>7</v>
      </c>
      <c r="O30" s="18">
        <f t="shared" si="14"/>
        <v>0</v>
      </c>
      <c r="Z30" s="18">
        <f t="shared" si="15"/>
        <v>0</v>
      </c>
      <c r="AA30" s="18">
        <f t="shared" si="16"/>
        <v>0</v>
      </c>
      <c r="AB30" s="18">
        <f t="shared" si="17"/>
        <v>0</v>
      </c>
      <c r="AD30" s="35">
        <v>15</v>
      </c>
      <c r="AE30" s="35">
        <f t="shared" si="18"/>
        <v>0</v>
      </c>
      <c r="AF30" s="35">
        <f t="shared" si="19"/>
        <v>0</v>
      </c>
      <c r="AM30" s="35">
        <f t="shared" si="20"/>
        <v>0</v>
      </c>
      <c r="AN30" s="35">
        <f t="shared" si="21"/>
        <v>0</v>
      </c>
      <c r="AO30" s="36" t="s">
        <v>173</v>
      </c>
      <c r="AP30" s="36" t="s">
        <v>179</v>
      </c>
      <c r="AQ30" s="27" t="s">
        <v>182</v>
      </c>
    </row>
    <row r="31" spans="1:43" ht="12.75">
      <c r="A31" s="4" t="s">
        <v>21</v>
      </c>
      <c r="B31" s="4"/>
      <c r="C31" s="4" t="s">
        <v>61</v>
      </c>
      <c r="D31" s="4" t="s">
        <v>103</v>
      </c>
      <c r="E31" s="4" t="s">
        <v>134</v>
      </c>
      <c r="F31" s="18">
        <v>2</v>
      </c>
      <c r="G31" s="18">
        <v>0</v>
      </c>
      <c r="H31" s="18">
        <f t="shared" si="10"/>
        <v>0</v>
      </c>
      <c r="I31" s="18">
        <f t="shared" si="11"/>
        <v>0</v>
      </c>
      <c r="J31" s="18">
        <f t="shared" si="12"/>
        <v>0</v>
      </c>
      <c r="K31" s="18">
        <v>0.00721</v>
      </c>
      <c r="L31" s="18">
        <f t="shared" si="13"/>
        <v>0.01442</v>
      </c>
      <c r="M31" s="30" t="s">
        <v>157</v>
      </c>
      <c r="N31" s="30" t="s">
        <v>7</v>
      </c>
      <c r="O31" s="18">
        <f t="shared" si="14"/>
        <v>0</v>
      </c>
      <c r="Z31" s="18">
        <f t="shared" si="15"/>
        <v>0</v>
      </c>
      <c r="AA31" s="18">
        <f t="shared" si="16"/>
        <v>0</v>
      </c>
      <c r="AB31" s="18">
        <f t="shared" si="17"/>
        <v>0</v>
      </c>
      <c r="AD31" s="35">
        <v>15</v>
      </c>
      <c r="AE31" s="35">
        <f t="shared" si="18"/>
        <v>0</v>
      </c>
      <c r="AF31" s="35">
        <f t="shared" si="19"/>
        <v>0</v>
      </c>
      <c r="AM31" s="35">
        <f t="shared" si="20"/>
        <v>0</v>
      </c>
      <c r="AN31" s="35">
        <f t="shared" si="21"/>
        <v>0</v>
      </c>
      <c r="AO31" s="36" t="s">
        <v>173</v>
      </c>
      <c r="AP31" s="36" t="s">
        <v>179</v>
      </c>
      <c r="AQ31" s="27" t="s">
        <v>182</v>
      </c>
    </row>
    <row r="32" spans="1:43" ht="12.75">
      <c r="A32" s="4" t="s">
        <v>22</v>
      </c>
      <c r="B32" s="4"/>
      <c r="C32" s="4" t="s">
        <v>62</v>
      </c>
      <c r="D32" s="4" t="s">
        <v>104</v>
      </c>
      <c r="E32" s="4" t="s">
        <v>135</v>
      </c>
      <c r="F32" s="18">
        <v>7</v>
      </c>
      <c r="G32" s="18">
        <v>0</v>
      </c>
      <c r="H32" s="18">
        <f t="shared" si="10"/>
        <v>0</v>
      </c>
      <c r="I32" s="18">
        <f t="shared" si="11"/>
        <v>0</v>
      </c>
      <c r="J32" s="18">
        <f t="shared" si="12"/>
        <v>0</v>
      </c>
      <c r="K32" s="18">
        <v>0.00064</v>
      </c>
      <c r="L32" s="18">
        <f t="shared" si="13"/>
        <v>0.0044800000000000005</v>
      </c>
      <c r="M32" s="30" t="s">
        <v>157</v>
      </c>
      <c r="N32" s="30" t="s">
        <v>7</v>
      </c>
      <c r="O32" s="18">
        <f t="shared" si="14"/>
        <v>0</v>
      </c>
      <c r="Z32" s="18">
        <f t="shared" si="15"/>
        <v>0</v>
      </c>
      <c r="AA32" s="18">
        <f t="shared" si="16"/>
        <v>0</v>
      </c>
      <c r="AB32" s="18">
        <f t="shared" si="17"/>
        <v>0</v>
      </c>
      <c r="AD32" s="35">
        <v>15</v>
      </c>
      <c r="AE32" s="35">
        <f t="shared" si="18"/>
        <v>0</v>
      </c>
      <c r="AF32" s="35">
        <f t="shared" si="19"/>
        <v>0</v>
      </c>
      <c r="AM32" s="35">
        <f t="shared" si="20"/>
        <v>0</v>
      </c>
      <c r="AN32" s="35">
        <f t="shared" si="21"/>
        <v>0</v>
      </c>
      <c r="AO32" s="36" t="s">
        <v>173</v>
      </c>
      <c r="AP32" s="36" t="s">
        <v>179</v>
      </c>
      <c r="AQ32" s="27" t="s">
        <v>182</v>
      </c>
    </row>
    <row r="33" spans="1:43" ht="12.75">
      <c r="A33" s="4" t="s">
        <v>23</v>
      </c>
      <c r="B33" s="4"/>
      <c r="C33" s="4" t="s">
        <v>63</v>
      </c>
      <c r="D33" s="4" t="s">
        <v>105</v>
      </c>
      <c r="E33" s="4" t="s">
        <v>136</v>
      </c>
      <c r="F33" s="18">
        <v>61</v>
      </c>
      <c r="G33" s="18">
        <v>0</v>
      </c>
      <c r="H33" s="18">
        <f t="shared" si="10"/>
        <v>0</v>
      </c>
      <c r="I33" s="18">
        <f t="shared" si="11"/>
        <v>0</v>
      </c>
      <c r="J33" s="18">
        <f t="shared" si="12"/>
        <v>0</v>
      </c>
      <c r="K33" s="18">
        <v>0.00197</v>
      </c>
      <c r="L33" s="18">
        <f t="shared" si="13"/>
        <v>0.12017</v>
      </c>
      <c r="M33" s="30" t="s">
        <v>157</v>
      </c>
      <c r="N33" s="30" t="s">
        <v>7</v>
      </c>
      <c r="O33" s="18">
        <f t="shared" si="14"/>
        <v>0</v>
      </c>
      <c r="Z33" s="18">
        <f t="shared" si="15"/>
        <v>0</v>
      </c>
      <c r="AA33" s="18">
        <f t="shared" si="16"/>
        <v>0</v>
      </c>
      <c r="AB33" s="18">
        <f t="shared" si="17"/>
        <v>0</v>
      </c>
      <c r="AD33" s="35">
        <v>15</v>
      </c>
      <c r="AE33" s="35">
        <f t="shared" si="18"/>
        <v>0</v>
      </c>
      <c r="AF33" s="35">
        <f t="shared" si="19"/>
        <v>0</v>
      </c>
      <c r="AM33" s="35">
        <f t="shared" si="20"/>
        <v>0</v>
      </c>
      <c r="AN33" s="35">
        <f t="shared" si="21"/>
        <v>0</v>
      </c>
      <c r="AO33" s="36" t="s">
        <v>173</v>
      </c>
      <c r="AP33" s="36" t="s">
        <v>179</v>
      </c>
      <c r="AQ33" s="27" t="s">
        <v>182</v>
      </c>
    </row>
    <row r="34" spans="1:43" ht="12.75">
      <c r="A34" s="4" t="s">
        <v>24</v>
      </c>
      <c r="B34" s="4"/>
      <c r="C34" s="4" t="s">
        <v>64</v>
      </c>
      <c r="D34" s="4" t="s">
        <v>106</v>
      </c>
      <c r="E34" s="4" t="s">
        <v>136</v>
      </c>
      <c r="F34" s="18">
        <v>59.8</v>
      </c>
      <c r="G34" s="18">
        <v>0</v>
      </c>
      <c r="H34" s="18">
        <f t="shared" si="10"/>
        <v>0</v>
      </c>
      <c r="I34" s="18">
        <f t="shared" si="11"/>
        <v>0</v>
      </c>
      <c r="J34" s="18">
        <f t="shared" si="12"/>
        <v>0</v>
      </c>
      <c r="K34" s="18">
        <v>0.0023</v>
      </c>
      <c r="L34" s="18">
        <f t="shared" si="13"/>
        <v>0.13754</v>
      </c>
      <c r="M34" s="30" t="s">
        <v>157</v>
      </c>
      <c r="N34" s="30" t="s">
        <v>7</v>
      </c>
      <c r="O34" s="18">
        <f t="shared" si="14"/>
        <v>0</v>
      </c>
      <c r="Z34" s="18">
        <f t="shared" si="15"/>
        <v>0</v>
      </c>
      <c r="AA34" s="18">
        <f t="shared" si="16"/>
        <v>0</v>
      </c>
      <c r="AB34" s="18">
        <f t="shared" si="17"/>
        <v>0</v>
      </c>
      <c r="AD34" s="35">
        <v>15</v>
      </c>
      <c r="AE34" s="35">
        <f t="shared" si="18"/>
        <v>0</v>
      </c>
      <c r="AF34" s="35">
        <f t="shared" si="19"/>
        <v>0</v>
      </c>
      <c r="AM34" s="35">
        <f t="shared" si="20"/>
        <v>0</v>
      </c>
      <c r="AN34" s="35">
        <f t="shared" si="21"/>
        <v>0</v>
      </c>
      <c r="AO34" s="36" t="s">
        <v>173</v>
      </c>
      <c r="AP34" s="36" t="s">
        <v>179</v>
      </c>
      <c r="AQ34" s="27" t="s">
        <v>182</v>
      </c>
    </row>
    <row r="35" spans="3:13" ht="12.75">
      <c r="C35" s="14" t="s">
        <v>41</v>
      </c>
      <c r="D35" s="85" t="s">
        <v>107</v>
      </c>
      <c r="E35" s="86"/>
      <c r="F35" s="86"/>
      <c r="G35" s="86"/>
      <c r="H35" s="86"/>
      <c r="I35" s="86"/>
      <c r="J35" s="86"/>
      <c r="K35" s="86"/>
      <c r="L35" s="86"/>
      <c r="M35" s="86"/>
    </row>
    <row r="36" spans="1:43" ht="12.75">
      <c r="A36" s="4" t="s">
        <v>25</v>
      </c>
      <c r="B36" s="4"/>
      <c r="C36" s="4" t="s">
        <v>65</v>
      </c>
      <c r="D36" s="4" t="s">
        <v>108</v>
      </c>
      <c r="E36" s="4" t="s">
        <v>136</v>
      </c>
      <c r="F36" s="18">
        <v>32.8</v>
      </c>
      <c r="G36" s="18">
        <v>0</v>
      </c>
      <c r="H36" s="18">
        <f aca="true" t="shared" si="22" ref="H36:H41">ROUND(F36*AE36,2)</f>
        <v>0</v>
      </c>
      <c r="I36" s="18">
        <f aca="true" t="shared" si="23" ref="I36:I41">J36-H36</f>
        <v>0</v>
      </c>
      <c r="J36" s="18">
        <f aca="true" t="shared" si="24" ref="J36:J41">ROUND(F36*G36,2)</f>
        <v>0</v>
      </c>
      <c r="K36" s="18">
        <v>0.00307</v>
      </c>
      <c r="L36" s="18">
        <f aca="true" t="shared" si="25" ref="L36:L41">F36*K36</f>
        <v>0.10069599999999998</v>
      </c>
      <c r="M36" s="30" t="s">
        <v>157</v>
      </c>
      <c r="N36" s="30" t="s">
        <v>7</v>
      </c>
      <c r="O36" s="18">
        <f aca="true" t="shared" si="26" ref="O36:O41">IF(N36="5",I36,0)</f>
        <v>0</v>
      </c>
      <c r="Z36" s="18">
        <f aca="true" t="shared" si="27" ref="Z36:Z41">IF(AD36=0,J36,0)</f>
        <v>0</v>
      </c>
      <c r="AA36" s="18">
        <f aca="true" t="shared" si="28" ref="AA36:AA41">IF(AD36=15,J36,0)</f>
        <v>0</v>
      </c>
      <c r="AB36" s="18">
        <f aca="true" t="shared" si="29" ref="AB36:AB41">IF(AD36=21,J36,0)</f>
        <v>0</v>
      </c>
      <c r="AD36" s="35">
        <v>15</v>
      </c>
      <c r="AE36" s="35">
        <f>G36*0</f>
        <v>0</v>
      </c>
      <c r="AF36" s="35">
        <f>G36*(1-0)</f>
        <v>0</v>
      </c>
      <c r="AM36" s="35">
        <f aca="true" t="shared" si="30" ref="AM36:AM41">F36*AE36</f>
        <v>0</v>
      </c>
      <c r="AN36" s="35">
        <f aca="true" t="shared" si="31" ref="AN36:AN41">F36*AF36</f>
        <v>0</v>
      </c>
      <c r="AO36" s="36" t="s">
        <v>173</v>
      </c>
      <c r="AP36" s="36" t="s">
        <v>179</v>
      </c>
      <c r="AQ36" s="27" t="s">
        <v>182</v>
      </c>
    </row>
    <row r="37" spans="1:43" ht="12.75">
      <c r="A37" s="4" t="s">
        <v>26</v>
      </c>
      <c r="B37" s="4"/>
      <c r="C37" s="4" t="s">
        <v>66</v>
      </c>
      <c r="D37" s="4" t="s">
        <v>109</v>
      </c>
      <c r="E37" s="4" t="s">
        <v>134</v>
      </c>
      <c r="F37" s="18">
        <v>2</v>
      </c>
      <c r="G37" s="18">
        <v>0</v>
      </c>
      <c r="H37" s="18">
        <f t="shared" si="22"/>
        <v>0</v>
      </c>
      <c r="I37" s="18">
        <f t="shared" si="23"/>
        <v>0</v>
      </c>
      <c r="J37" s="18">
        <f t="shared" si="24"/>
        <v>0</v>
      </c>
      <c r="K37" s="18">
        <v>0.00835</v>
      </c>
      <c r="L37" s="18">
        <f t="shared" si="25"/>
        <v>0.0167</v>
      </c>
      <c r="M37" s="30" t="s">
        <v>157</v>
      </c>
      <c r="N37" s="30" t="s">
        <v>7</v>
      </c>
      <c r="O37" s="18">
        <f t="shared" si="26"/>
        <v>0</v>
      </c>
      <c r="Z37" s="18">
        <f t="shared" si="27"/>
        <v>0</v>
      </c>
      <c r="AA37" s="18">
        <f t="shared" si="28"/>
        <v>0</v>
      </c>
      <c r="AB37" s="18">
        <f t="shared" si="29"/>
        <v>0</v>
      </c>
      <c r="AD37" s="35">
        <v>15</v>
      </c>
      <c r="AE37" s="35">
        <f>G37*0.223680154142582</f>
        <v>0</v>
      </c>
      <c r="AF37" s="35">
        <f>G37*(1-0.223680154142582)</f>
        <v>0</v>
      </c>
      <c r="AM37" s="35">
        <f t="shared" si="30"/>
        <v>0</v>
      </c>
      <c r="AN37" s="35">
        <f t="shared" si="31"/>
        <v>0</v>
      </c>
      <c r="AO37" s="36" t="s">
        <v>173</v>
      </c>
      <c r="AP37" s="36" t="s">
        <v>179</v>
      </c>
      <c r="AQ37" s="27" t="s">
        <v>182</v>
      </c>
    </row>
    <row r="38" spans="1:43" ht="12.75">
      <c r="A38" s="4" t="s">
        <v>27</v>
      </c>
      <c r="B38" s="4"/>
      <c r="C38" s="4" t="s">
        <v>67</v>
      </c>
      <c r="D38" s="4" t="s">
        <v>110</v>
      </c>
      <c r="E38" s="4" t="s">
        <v>135</v>
      </c>
      <c r="F38" s="18">
        <v>7</v>
      </c>
      <c r="G38" s="18">
        <v>0</v>
      </c>
      <c r="H38" s="18">
        <f t="shared" si="22"/>
        <v>0</v>
      </c>
      <c r="I38" s="18">
        <f t="shared" si="23"/>
        <v>0</v>
      </c>
      <c r="J38" s="18">
        <f t="shared" si="24"/>
        <v>0</v>
      </c>
      <c r="K38" s="18">
        <v>0.00374</v>
      </c>
      <c r="L38" s="18">
        <f t="shared" si="25"/>
        <v>0.02618</v>
      </c>
      <c r="M38" s="30" t="s">
        <v>157</v>
      </c>
      <c r="N38" s="30" t="s">
        <v>7</v>
      </c>
      <c r="O38" s="18">
        <f t="shared" si="26"/>
        <v>0</v>
      </c>
      <c r="Z38" s="18">
        <f t="shared" si="27"/>
        <v>0</v>
      </c>
      <c r="AA38" s="18">
        <f t="shared" si="28"/>
        <v>0</v>
      </c>
      <c r="AB38" s="18">
        <f t="shared" si="29"/>
        <v>0</v>
      </c>
      <c r="AD38" s="35">
        <v>15</v>
      </c>
      <c r="AE38" s="35">
        <f>G38*0.436771132141229</f>
        <v>0</v>
      </c>
      <c r="AF38" s="35">
        <f>G38*(1-0.436771132141229)</f>
        <v>0</v>
      </c>
      <c r="AM38" s="35">
        <f t="shared" si="30"/>
        <v>0</v>
      </c>
      <c r="AN38" s="35">
        <f t="shared" si="31"/>
        <v>0</v>
      </c>
      <c r="AO38" s="36" t="s">
        <v>173</v>
      </c>
      <c r="AP38" s="36" t="s">
        <v>179</v>
      </c>
      <c r="AQ38" s="27" t="s">
        <v>182</v>
      </c>
    </row>
    <row r="39" spans="1:43" ht="12.75">
      <c r="A39" s="4" t="s">
        <v>28</v>
      </c>
      <c r="B39" s="4"/>
      <c r="C39" s="4" t="s">
        <v>68</v>
      </c>
      <c r="D39" s="4" t="s">
        <v>111</v>
      </c>
      <c r="E39" s="4" t="s">
        <v>136</v>
      </c>
      <c r="F39" s="18">
        <v>59.8</v>
      </c>
      <c r="G39" s="18">
        <v>0</v>
      </c>
      <c r="H39" s="18">
        <f t="shared" si="22"/>
        <v>0</v>
      </c>
      <c r="I39" s="18">
        <f t="shared" si="23"/>
        <v>0</v>
      </c>
      <c r="J39" s="18">
        <f t="shared" si="24"/>
        <v>0</v>
      </c>
      <c r="K39" s="18">
        <v>0.00595</v>
      </c>
      <c r="L39" s="18">
        <f t="shared" si="25"/>
        <v>0.35581</v>
      </c>
      <c r="M39" s="30" t="s">
        <v>157</v>
      </c>
      <c r="N39" s="30" t="s">
        <v>7</v>
      </c>
      <c r="O39" s="18">
        <f t="shared" si="26"/>
        <v>0</v>
      </c>
      <c r="Z39" s="18">
        <f t="shared" si="27"/>
        <v>0</v>
      </c>
      <c r="AA39" s="18">
        <f t="shared" si="28"/>
        <v>0</v>
      </c>
      <c r="AB39" s="18">
        <f t="shared" si="29"/>
        <v>0</v>
      </c>
      <c r="AD39" s="35">
        <v>15</v>
      </c>
      <c r="AE39" s="35">
        <f>G39*0.388649318463445</f>
        <v>0</v>
      </c>
      <c r="AF39" s="35">
        <f>G39*(1-0.388649318463445)</f>
        <v>0</v>
      </c>
      <c r="AM39" s="35">
        <f t="shared" si="30"/>
        <v>0</v>
      </c>
      <c r="AN39" s="35">
        <f t="shared" si="31"/>
        <v>0</v>
      </c>
      <c r="AO39" s="36" t="s">
        <v>173</v>
      </c>
      <c r="AP39" s="36" t="s">
        <v>179</v>
      </c>
      <c r="AQ39" s="27" t="s">
        <v>182</v>
      </c>
    </row>
    <row r="40" spans="1:43" ht="12.75">
      <c r="A40" s="4" t="s">
        <v>29</v>
      </c>
      <c r="B40" s="4"/>
      <c r="C40" s="4" t="s">
        <v>69</v>
      </c>
      <c r="D40" s="4" t="s">
        <v>112</v>
      </c>
      <c r="E40" s="4" t="s">
        <v>136</v>
      </c>
      <c r="F40" s="18">
        <v>16.3</v>
      </c>
      <c r="G40" s="18">
        <v>0</v>
      </c>
      <c r="H40" s="18">
        <f t="shared" si="22"/>
        <v>0</v>
      </c>
      <c r="I40" s="18">
        <f t="shared" si="23"/>
        <v>0</v>
      </c>
      <c r="J40" s="18">
        <f t="shared" si="24"/>
        <v>0</v>
      </c>
      <c r="K40" s="18">
        <v>0.00342</v>
      </c>
      <c r="L40" s="18">
        <f t="shared" si="25"/>
        <v>0.055746</v>
      </c>
      <c r="M40" s="30" t="s">
        <v>157</v>
      </c>
      <c r="N40" s="30" t="s">
        <v>7</v>
      </c>
      <c r="O40" s="18">
        <f t="shared" si="26"/>
        <v>0</v>
      </c>
      <c r="Z40" s="18">
        <f t="shared" si="27"/>
        <v>0</v>
      </c>
      <c r="AA40" s="18">
        <f t="shared" si="28"/>
        <v>0</v>
      </c>
      <c r="AB40" s="18">
        <f t="shared" si="29"/>
        <v>0</v>
      </c>
      <c r="AD40" s="35">
        <v>15</v>
      </c>
      <c r="AE40" s="35">
        <f>G40*0.22236722306525</f>
        <v>0</v>
      </c>
      <c r="AF40" s="35">
        <f>G40*(1-0.22236722306525)</f>
        <v>0</v>
      </c>
      <c r="AM40" s="35">
        <f t="shared" si="30"/>
        <v>0</v>
      </c>
      <c r="AN40" s="35">
        <f t="shared" si="31"/>
        <v>0</v>
      </c>
      <c r="AO40" s="36" t="s">
        <v>173</v>
      </c>
      <c r="AP40" s="36" t="s">
        <v>179</v>
      </c>
      <c r="AQ40" s="27" t="s">
        <v>182</v>
      </c>
    </row>
    <row r="41" spans="1:43" ht="12.75">
      <c r="A41" s="4" t="s">
        <v>30</v>
      </c>
      <c r="B41" s="4"/>
      <c r="C41" s="4" t="s">
        <v>70</v>
      </c>
      <c r="D41" s="4" t="s">
        <v>113</v>
      </c>
      <c r="E41" s="4" t="s">
        <v>137</v>
      </c>
      <c r="F41" s="18">
        <v>5.14586</v>
      </c>
      <c r="G41" s="18">
        <v>0</v>
      </c>
      <c r="H41" s="18">
        <f t="shared" si="22"/>
        <v>0</v>
      </c>
      <c r="I41" s="18">
        <f t="shared" si="23"/>
        <v>0</v>
      </c>
      <c r="J41" s="18">
        <f t="shared" si="24"/>
        <v>0</v>
      </c>
      <c r="K41" s="18">
        <v>0</v>
      </c>
      <c r="L41" s="18">
        <f t="shared" si="25"/>
        <v>0</v>
      </c>
      <c r="M41" s="30" t="s">
        <v>157</v>
      </c>
      <c r="N41" s="30" t="s">
        <v>11</v>
      </c>
      <c r="O41" s="18">
        <f t="shared" si="26"/>
        <v>0</v>
      </c>
      <c r="Z41" s="18">
        <f t="shared" si="27"/>
        <v>0</v>
      </c>
      <c r="AA41" s="18">
        <f t="shared" si="28"/>
        <v>0</v>
      </c>
      <c r="AB41" s="18">
        <f t="shared" si="29"/>
        <v>0</v>
      </c>
      <c r="AD41" s="35">
        <v>15</v>
      </c>
      <c r="AE41" s="35">
        <f>G41*0</f>
        <v>0</v>
      </c>
      <c r="AF41" s="35">
        <f>G41*(1-0)</f>
        <v>0</v>
      </c>
      <c r="AM41" s="35">
        <f t="shared" si="30"/>
        <v>0</v>
      </c>
      <c r="AN41" s="35">
        <f t="shared" si="31"/>
        <v>0</v>
      </c>
      <c r="AO41" s="36" t="s">
        <v>173</v>
      </c>
      <c r="AP41" s="36" t="s">
        <v>179</v>
      </c>
      <c r="AQ41" s="27" t="s">
        <v>182</v>
      </c>
    </row>
    <row r="42" spans="1:37" ht="12.75">
      <c r="A42" s="6"/>
      <c r="B42" s="13"/>
      <c r="C42" s="13" t="s">
        <v>71</v>
      </c>
      <c r="D42" s="83" t="s">
        <v>114</v>
      </c>
      <c r="E42" s="84"/>
      <c r="F42" s="84"/>
      <c r="G42" s="84"/>
      <c r="H42" s="38">
        <f>SUM(H43:H45)</f>
        <v>0</v>
      </c>
      <c r="I42" s="38">
        <f>SUM(I43:I45)</f>
        <v>0</v>
      </c>
      <c r="J42" s="38">
        <f>H42+I42</f>
        <v>0</v>
      </c>
      <c r="K42" s="27"/>
      <c r="L42" s="38">
        <f>SUM(L43:L45)</f>
        <v>0.23008</v>
      </c>
      <c r="M42" s="27"/>
      <c r="P42" s="38">
        <f>IF(Q42="PR",J42,SUM(O43:O45))</f>
        <v>0</v>
      </c>
      <c r="Q42" s="27" t="s">
        <v>161</v>
      </c>
      <c r="R42" s="38">
        <f>IF(Q42="HS",H42,0)</f>
        <v>0</v>
      </c>
      <c r="S42" s="38">
        <f>IF(Q42="HS",I42-P42,0)</f>
        <v>0</v>
      </c>
      <c r="T42" s="38">
        <f>IF(Q42="PS",H42,0)</f>
        <v>0</v>
      </c>
      <c r="U42" s="38">
        <f>IF(Q42="PS",I42-P42,0)</f>
        <v>0</v>
      </c>
      <c r="V42" s="38">
        <f>IF(Q42="MP",H42,0)</f>
        <v>0</v>
      </c>
      <c r="W42" s="38">
        <f>IF(Q42="MP",I42-P42,0)</f>
        <v>0</v>
      </c>
      <c r="X42" s="38">
        <f>IF(Q42="OM",H42,0)</f>
        <v>0</v>
      </c>
      <c r="Y42" s="27"/>
      <c r="AI42" s="38">
        <f>SUM(Z43:Z45)</f>
        <v>0</v>
      </c>
      <c r="AJ42" s="38">
        <f>SUM(AA43:AA45)</f>
        <v>0</v>
      </c>
      <c r="AK42" s="38">
        <f>SUM(AB43:AB45)</f>
        <v>0</v>
      </c>
    </row>
    <row r="43" spans="1:43" ht="12.75">
      <c r="A43" s="4" t="s">
        <v>31</v>
      </c>
      <c r="B43" s="4"/>
      <c r="C43" s="4" t="s">
        <v>72</v>
      </c>
      <c r="D43" s="4" t="s">
        <v>232</v>
      </c>
      <c r="E43" s="4" t="s">
        <v>134</v>
      </c>
      <c r="F43" s="18">
        <v>1140</v>
      </c>
      <c r="G43" s="18">
        <v>0</v>
      </c>
      <c r="H43" s="18">
        <f>ROUND(F43*AE43,2)</f>
        <v>0</v>
      </c>
      <c r="I43" s="18">
        <f>J43-H43</f>
        <v>0</v>
      </c>
      <c r="J43" s="18">
        <f>ROUND(F43*G43,2)</f>
        <v>0</v>
      </c>
      <c r="K43" s="18">
        <v>0.00016</v>
      </c>
      <c r="L43" s="18">
        <f>F43*K43</f>
        <v>0.1824</v>
      </c>
      <c r="M43" s="30" t="s">
        <v>157</v>
      </c>
      <c r="N43" s="30" t="s">
        <v>7</v>
      </c>
      <c r="O43" s="18">
        <f>IF(N43="5",I43,0)</f>
        <v>0</v>
      </c>
      <c r="Z43" s="18">
        <f>IF(AD43=0,J43,0)</f>
        <v>0</v>
      </c>
      <c r="AA43" s="18">
        <f>IF(AD43=15,J43,0)</f>
        <v>0</v>
      </c>
      <c r="AB43" s="18">
        <f>IF(AD43=21,J43,0)</f>
        <v>0</v>
      </c>
      <c r="AD43" s="35">
        <v>15</v>
      </c>
      <c r="AE43" s="35">
        <f>G43*0.189388997608176</f>
        <v>0</v>
      </c>
      <c r="AF43" s="35">
        <f>G43*(1-0.189388997608176)</f>
        <v>0</v>
      </c>
      <c r="AM43" s="35">
        <f>F43*AE43</f>
        <v>0</v>
      </c>
      <c r="AN43" s="35">
        <f>F43*AF43</f>
        <v>0</v>
      </c>
      <c r="AO43" s="36" t="s">
        <v>174</v>
      </c>
      <c r="AP43" s="36" t="s">
        <v>180</v>
      </c>
      <c r="AQ43" s="27" t="s">
        <v>182</v>
      </c>
    </row>
    <row r="44" spans="3:13" ht="12.75">
      <c r="C44" s="14" t="s">
        <v>41</v>
      </c>
      <c r="D44" s="85" t="s">
        <v>115</v>
      </c>
      <c r="E44" s="86"/>
      <c r="F44" s="86"/>
      <c r="G44" s="86"/>
      <c r="H44" s="86"/>
      <c r="I44" s="86"/>
      <c r="J44" s="86"/>
      <c r="K44" s="86"/>
      <c r="L44" s="86"/>
      <c r="M44" s="86"/>
    </row>
    <row r="45" spans="1:43" ht="12.75">
      <c r="A45" s="4" t="s">
        <v>32</v>
      </c>
      <c r="B45" s="4"/>
      <c r="C45" s="4" t="s">
        <v>72</v>
      </c>
      <c r="D45" s="4" t="s">
        <v>232</v>
      </c>
      <c r="E45" s="4" t="s">
        <v>134</v>
      </c>
      <c r="F45" s="18">
        <v>298</v>
      </c>
      <c r="G45" s="18">
        <v>0</v>
      </c>
      <c r="H45" s="18">
        <f>ROUND(F45*AE45,2)</f>
        <v>0</v>
      </c>
      <c r="I45" s="18">
        <f>J45-H45</f>
        <v>0</v>
      </c>
      <c r="J45" s="18">
        <f>ROUND(F45*G45,2)</f>
        <v>0</v>
      </c>
      <c r="K45" s="18">
        <v>0.00016</v>
      </c>
      <c r="L45" s="18">
        <f>F45*K45</f>
        <v>0.04768000000000001</v>
      </c>
      <c r="M45" s="30" t="s">
        <v>157</v>
      </c>
      <c r="N45" s="30" t="s">
        <v>7</v>
      </c>
      <c r="O45" s="18">
        <f>IF(N45="5",I45,0)</f>
        <v>0</v>
      </c>
      <c r="Z45" s="18">
        <f>IF(AD45=0,J45,0)</f>
        <v>0</v>
      </c>
      <c r="AA45" s="18">
        <f>IF(AD45=15,J45,0)</f>
        <v>0</v>
      </c>
      <c r="AB45" s="18">
        <f>IF(AD45=21,J45,0)</f>
        <v>0</v>
      </c>
      <c r="AD45" s="35">
        <v>15</v>
      </c>
      <c r="AE45" s="35">
        <f>G45*0.189388997608176</f>
        <v>0</v>
      </c>
      <c r="AF45" s="35">
        <f>G45*(1-0.189388997608176)</f>
        <v>0</v>
      </c>
      <c r="AM45" s="35">
        <f>F45*AE45</f>
        <v>0</v>
      </c>
      <c r="AN45" s="35">
        <f>F45*AF45</f>
        <v>0</v>
      </c>
      <c r="AO45" s="36" t="s">
        <v>174</v>
      </c>
      <c r="AP45" s="36" t="s">
        <v>180</v>
      </c>
      <c r="AQ45" s="27" t="s">
        <v>182</v>
      </c>
    </row>
    <row r="46" spans="3:13" ht="12.75">
      <c r="C46" s="14" t="s">
        <v>41</v>
      </c>
      <c r="D46" s="85" t="s">
        <v>116</v>
      </c>
      <c r="E46" s="86"/>
      <c r="F46" s="86"/>
      <c r="G46" s="86"/>
      <c r="H46" s="86"/>
      <c r="I46" s="86"/>
      <c r="J46" s="86"/>
      <c r="K46" s="86"/>
      <c r="L46" s="86"/>
      <c r="M46" s="86"/>
    </row>
    <row r="47" spans="1:37" ht="12.75">
      <c r="A47" s="6"/>
      <c r="B47" s="13"/>
      <c r="C47" s="13" t="s">
        <v>73</v>
      </c>
      <c r="D47" s="83" t="s">
        <v>117</v>
      </c>
      <c r="E47" s="84"/>
      <c r="F47" s="84"/>
      <c r="G47" s="84"/>
      <c r="H47" s="38">
        <f>SUM(H48:H48)</f>
        <v>0</v>
      </c>
      <c r="I47" s="38">
        <f>SUM(I48:I48)</f>
        <v>0</v>
      </c>
      <c r="J47" s="38">
        <f>H47+I47</f>
        <v>0</v>
      </c>
      <c r="K47" s="27"/>
      <c r="L47" s="38">
        <f>SUM(L48:L48)</f>
        <v>1.395702</v>
      </c>
      <c r="M47" s="27"/>
      <c r="P47" s="38">
        <f>IF(Q47="PR",J47,SUM(O48:O48))</f>
        <v>0</v>
      </c>
      <c r="Q47" s="27" t="s">
        <v>162</v>
      </c>
      <c r="R47" s="38">
        <f>IF(Q47="HS",H47,0)</f>
        <v>0</v>
      </c>
      <c r="S47" s="38">
        <f>IF(Q47="HS",I47-P47,0)</f>
        <v>0</v>
      </c>
      <c r="T47" s="38">
        <f>IF(Q47="PS",H47,0)</f>
        <v>0</v>
      </c>
      <c r="U47" s="38">
        <f>IF(Q47="PS",I47-P47,0)</f>
        <v>0</v>
      </c>
      <c r="V47" s="38">
        <f>IF(Q47="MP",H47,0)</f>
        <v>0</v>
      </c>
      <c r="W47" s="38">
        <f>IF(Q47="MP",I47-P47,0)</f>
        <v>0</v>
      </c>
      <c r="X47" s="38">
        <f>IF(Q47="OM",H47,0)</f>
        <v>0</v>
      </c>
      <c r="Y47" s="27"/>
      <c r="AI47" s="38">
        <f>SUM(Z48:Z48)</f>
        <v>0</v>
      </c>
      <c r="AJ47" s="38">
        <f>SUM(AA48:AA48)</f>
        <v>0</v>
      </c>
      <c r="AK47" s="38">
        <f>SUM(AB48:AB48)</f>
        <v>0</v>
      </c>
    </row>
    <row r="48" spans="1:43" ht="12.75">
      <c r="A48" s="4" t="s">
        <v>33</v>
      </c>
      <c r="B48" s="4"/>
      <c r="C48" s="4" t="s">
        <v>74</v>
      </c>
      <c r="D48" s="4" t="s">
        <v>118</v>
      </c>
      <c r="E48" s="4" t="s">
        <v>134</v>
      </c>
      <c r="F48" s="18">
        <v>10.6</v>
      </c>
      <c r="G48" s="18">
        <v>0</v>
      </c>
      <c r="H48" s="18">
        <f>ROUND(F48*AE48,2)</f>
        <v>0</v>
      </c>
      <c r="I48" s="18">
        <f>J48-H48</f>
        <v>0</v>
      </c>
      <c r="J48" s="18">
        <f>ROUND(F48*G48,2)</f>
        <v>0</v>
      </c>
      <c r="K48" s="18">
        <v>0.13167</v>
      </c>
      <c r="L48" s="18">
        <f>F48*K48</f>
        <v>1.395702</v>
      </c>
      <c r="M48" s="30" t="s">
        <v>157</v>
      </c>
      <c r="N48" s="30" t="s">
        <v>9</v>
      </c>
      <c r="O48" s="18">
        <f>IF(N48="5",I48,0)</f>
        <v>0</v>
      </c>
      <c r="Z48" s="18">
        <f>IF(AD48=0,J48,0)</f>
        <v>0</v>
      </c>
      <c r="AA48" s="18">
        <f>IF(AD48=15,J48,0)</f>
        <v>0</v>
      </c>
      <c r="AB48" s="18">
        <f>IF(AD48=21,J48,0)</f>
        <v>0</v>
      </c>
      <c r="AD48" s="35">
        <v>15</v>
      </c>
      <c r="AE48" s="35">
        <f>G48*0.0768857392486166</f>
        <v>0</v>
      </c>
      <c r="AF48" s="35">
        <f>G48*(1-0.0768857392486166)</f>
        <v>0</v>
      </c>
      <c r="AM48" s="35">
        <f>F48*AE48</f>
        <v>0</v>
      </c>
      <c r="AN48" s="35">
        <f>F48*AF48</f>
        <v>0</v>
      </c>
      <c r="AO48" s="36" t="s">
        <v>175</v>
      </c>
      <c r="AP48" s="36" t="s">
        <v>181</v>
      </c>
      <c r="AQ48" s="27" t="s">
        <v>182</v>
      </c>
    </row>
    <row r="49" spans="3:13" ht="12.75">
      <c r="C49" s="14" t="s">
        <v>41</v>
      </c>
      <c r="D49" s="85" t="s">
        <v>119</v>
      </c>
      <c r="E49" s="86"/>
      <c r="F49" s="86"/>
      <c r="G49" s="86"/>
      <c r="H49" s="86"/>
      <c r="I49" s="86"/>
      <c r="J49" s="86"/>
      <c r="K49" s="86"/>
      <c r="L49" s="86"/>
      <c r="M49" s="86"/>
    </row>
    <row r="50" spans="1:37" ht="12.75">
      <c r="A50" s="6"/>
      <c r="B50" s="13"/>
      <c r="C50" s="13" t="s">
        <v>75</v>
      </c>
      <c r="D50" s="83" t="s">
        <v>120</v>
      </c>
      <c r="E50" s="84"/>
      <c r="F50" s="84"/>
      <c r="G50" s="84"/>
      <c r="H50" s="38">
        <f>SUM(H51:H51)</f>
        <v>0</v>
      </c>
      <c r="I50" s="38">
        <f>SUM(I51:I51)</f>
        <v>0</v>
      </c>
      <c r="J50" s="38">
        <f>H50+I50</f>
        <v>0</v>
      </c>
      <c r="K50" s="27"/>
      <c r="L50" s="38">
        <f>SUM(L51:L51)</f>
        <v>0.00022</v>
      </c>
      <c r="M50" s="27"/>
      <c r="P50" s="38">
        <f>IF(Q50="PR",J50,SUM(O51:O51))</f>
        <v>0</v>
      </c>
      <c r="Q50" s="27" t="s">
        <v>163</v>
      </c>
      <c r="R50" s="38">
        <f>IF(Q50="HS",H50,0)</f>
        <v>0</v>
      </c>
      <c r="S50" s="38">
        <f>IF(Q50="HS",I50-P50,0)</f>
        <v>0</v>
      </c>
      <c r="T50" s="38">
        <f>IF(Q50="PS",H50,0)</f>
        <v>0</v>
      </c>
      <c r="U50" s="38">
        <f>IF(Q50="PS",I50-P50,0)</f>
        <v>0</v>
      </c>
      <c r="V50" s="38">
        <f>IF(Q50="MP",H50,0)</f>
        <v>0</v>
      </c>
      <c r="W50" s="38">
        <f>IF(Q50="MP",I50-P50,0)</f>
        <v>0</v>
      </c>
      <c r="X50" s="38">
        <f>IF(Q50="OM",H50,0)</f>
        <v>0</v>
      </c>
      <c r="Y50" s="27"/>
      <c r="AI50" s="38">
        <f>SUM(Z51:Z51)</f>
        <v>0</v>
      </c>
      <c r="AJ50" s="38">
        <f>SUM(AA51:AA51)</f>
        <v>0</v>
      </c>
      <c r="AK50" s="38">
        <f>SUM(AB51:AB51)</f>
        <v>0</v>
      </c>
    </row>
    <row r="51" spans="1:43" ht="12.75">
      <c r="A51" s="4" t="s">
        <v>34</v>
      </c>
      <c r="B51" s="4"/>
      <c r="C51" s="4" t="s">
        <v>76</v>
      </c>
      <c r="D51" s="4" t="s">
        <v>121</v>
      </c>
      <c r="E51" s="4" t="s">
        <v>138</v>
      </c>
      <c r="F51" s="18">
        <v>1</v>
      </c>
      <c r="G51" s="18">
        <v>0</v>
      </c>
      <c r="H51" s="18">
        <f>ROUND(F51*AE51,2)</f>
        <v>0</v>
      </c>
      <c r="I51" s="18">
        <f>J51-H51</f>
        <v>0</v>
      </c>
      <c r="J51" s="18">
        <f>ROUND(F51*G51,2)</f>
        <v>0</v>
      </c>
      <c r="K51" s="18">
        <v>0.00022</v>
      </c>
      <c r="L51" s="18">
        <f>F51*K51</f>
        <v>0.00022</v>
      </c>
      <c r="M51" s="30" t="s">
        <v>157</v>
      </c>
      <c r="N51" s="30" t="s">
        <v>8</v>
      </c>
      <c r="O51" s="18">
        <f>IF(N51="5",I51,0)</f>
        <v>0</v>
      </c>
      <c r="Z51" s="18">
        <f>IF(AD51=0,J51,0)</f>
        <v>0</v>
      </c>
      <c r="AA51" s="18">
        <f>IF(AD51=15,J51,0)</f>
        <v>0</v>
      </c>
      <c r="AB51" s="18">
        <f>IF(AD51=21,J51,0)</f>
        <v>0</v>
      </c>
      <c r="AD51" s="35">
        <v>15</v>
      </c>
      <c r="AE51" s="35">
        <f>G51*0.154981960784314</f>
        <v>0</v>
      </c>
      <c r="AF51" s="35">
        <f>G51*(1-0.154981960784314)</f>
        <v>0</v>
      </c>
      <c r="AM51" s="35">
        <f>F51*AE51</f>
        <v>0</v>
      </c>
      <c r="AN51" s="35">
        <f>F51*AF51</f>
        <v>0</v>
      </c>
      <c r="AO51" s="36" t="s">
        <v>176</v>
      </c>
      <c r="AP51" s="36" t="s">
        <v>181</v>
      </c>
      <c r="AQ51" s="27" t="s">
        <v>182</v>
      </c>
    </row>
    <row r="52" spans="1:37" ht="12.75">
      <c r="A52" s="6"/>
      <c r="B52" s="13"/>
      <c r="C52" s="13" t="s">
        <v>77</v>
      </c>
      <c r="D52" s="83" t="s">
        <v>122</v>
      </c>
      <c r="E52" s="84"/>
      <c r="F52" s="84"/>
      <c r="G52" s="84"/>
      <c r="H52" s="38">
        <f>SUM(H53:H58)</f>
        <v>0</v>
      </c>
      <c r="I52" s="38">
        <f>SUM(I53:I58)</f>
        <v>0</v>
      </c>
      <c r="J52" s="38">
        <f>H52+I52</f>
        <v>0</v>
      </c>
      <c r="K52" s="27"/>
      <c r="L52" s="38">
        <f>SUM(L53:L58)</f>
        <v>0</v>
      </c>
      <c r="M52" s="27"/>
      <c r="P52" s="38">
        <f>IF(Q52="PR",J52,SUM(O53:O58))</f>
        <v>0</v>
      </c>
      <c r="Q52" s="27" t="s">
        <v>162</v>
      </c>
      <c r="R52" s="38">
        <f>IF(Q52="HS",H52,0)</f>
        <v>0</v>
      </c>
      <c r="S52" s="38">
        <f>IF(Q52="HS",I52-P52,0)</f>
        <v>0</v>
      </c>
      <c r="T52" s="38">
        <f>IF(Q52="PS",H52,0)</f>
        <v>0</v>
      </c>
      <c r="U52" s="38">
        <f>IF(Q52="PS",I52-P52,0)</f>
        <v>0</v>
      </c>
      <c r="V52" s="38">
        <f>IF(Q52="MP",H52,0)</f>
        <v>0</v>
      </c>
      <c r="W52" s="38">
        <f>IF(Q52="MP",I52-P52,0)</f>
        <v>0</v>
      </c>
      <c r="X52" s="38">
        <f>IF(Q52="OM",H52,0)</f>
        <v>0</v>
      </c>
      <c r="Y52" s="27"/>
      <c r="AI52" s="38">
        <f>SUM(Z53:Z58)</f>
        <v>0</v>
      </c>
      <c r="AJ52" s="38">
        <f>SUM(AA53:AA58)</f>
        <v>0</v>
      </c>
      <c r="AK52" s="38">
        <f>SUM(AB53:AB58)</f>
        <v>0</v>
      </c>
    </row>
    <row r="53" spans="1:43" ht="12.75">
      <c r="A53" s="4" t="s">
        <v>35</v>
      </c>
      <c r="B53" s="4"/>
      <c r="C53" s="4" t="s">
        <v>78</v>
      </c>
      <c r="D53" s="4" t="s">
        <v>123</v>
      </c>
      <c r="E53" s="4" t="s">
        <v>137</v>
      </c>
      <c r="F53" s="18">
        <v>3.65</v>
      </c>
      <c r="G53" s="18">
        <v>0</v>
      </c>
      <c r="H53" s="18">
        <f aca="true" t="shared" si="32" ref="H53:H58">ROUND(F53*AE53,2)</f>
        <v>0</v>
      </c>
      <c r="I53" s="18">
        <f aca="true" t="shared" si="33" ref="I53:I58">J53-H53</f>
        <v>0</v>
      </c>
      <c r="J53" s="18">
        <f aca="true" t="shared" si="34" ref="J53:J58">ROUND(F53*G53,2)</f>
        <v>0</v>
      </c>
      <c r="K53" s="18">
        <v>0</v>
      </c>
      <c r="L53" s="18">
        <f aca="true" t="shared" si="35" ref="L53:L58">F53*K53</f>
        <v>0</v>
      </c>
      <c r="M53" s="30" t="s">
        <v>157</v>
      </c>
      <c r="N53" s="30" t="s">
        <v>11</v>
      </c>
      <c r="O53" s="18">
        <f aca="true" t="shared" si="36" ref="O53:O58">IF(N53="5",I53,0)</f>
        <v>0</v>
      </c>
      <c r="Z53" s="18">
        <f aca="true" t="shared" si="37" ref="Z53:Z58">IF(AD53=0,J53,0)</f>
        <v>0</v>
      </c>
      <c r="AA53" s="18">
        <f aca="true" t="shared" si="38" ref="AA53:AA58">IF(AD53=15,J53,0)</f>
        <v>0</v>
      </c>
      <c r="AB53" s="18">
        <f aca="true" t="shared" si="39" ref="AB53:AB58">IF(AD53=21,J53,0)</f>
        <v>0</v>
      </c>
      <c r="AD53" s="35">
        <v>15</v>
      </c>
      <c r="AE53" s="35">
        <f>G53*0</f>
        <v>0</v>
      </c>
      <c r="AF53" s="35">
        <f>G53*(1-0)</f>
        <v>0</v>
      </c>
      <c r="AM53" s="35">
        <f aca="true" t="shared" si="40" ref="AM53:AM58">F53*AE53</f>
        <v>0</v>
      </c>
      <c r="AN53" s="35">
        <f aca="true" t="shared" si="41" ref="AN53:AN58">F53*AF53</f>
        <v>0</v>
      </c>
      <c r="AO53" s="36" t="s">
        <v>177</v>
      </c>
      <c r="AP53" s="36" t="s">
        <v>181</v>
      </c>
      <c r="AQ53" s="27" t="s">
        <v>182</v>
      </c>
    </row>
    <row r="54" spans="1:43" ht="12.75">
      <c r="A54" s="4" t="s">
        <v>36</v>
      </c>
      <c r="B54" s="4"/>
      <c r="C54" s="4" t="s">
        <v>79</v>
      </c>
      <c r="D54" s="4" t="s">
        <v>124</v>
      </c>
      <c r="E54" s="4" t="s">
        <v>137</v>
      </c>
      <c r="F54" s="18">
        <v>3.65</v>
      </c>
      <c r="G54" s="18">
        <v>0</v>
      </c>
      <c r="H54" s="18">
        <f t="shared" si="32"/>
        <v>0</v>
      </c>
      <c r="I54" s="18">
        <f t="shared" si="33"/>
        <v>0</v>
      </c>
      <c r="J54" s="18">
        <f t="shared" si="34"/>
        <v>0</v>
      </c>
      <c r="K54" s="18">
        <v>0</v>
      </c>
      <c r="L54" s="18">
        <f t="shared" si="35"/>
        <v>0</v>
      </c>
      <c r="M54" s="30" t="s">
        <v>157</v>
      </c>
      <c r="N54" s="30" t="s">
        <v>11</v>
      </c>
      <c r="O54" s="18">
        <f t="shared" si="36"/>
        <v>0</v>
      </c>
      <c r="Z54" s="18">
        <f t="shared" si="37"/>
        <v>0</v>
      </c>
      <c r="AA54" s="18">
        <f t="shared" si="38"/>
        <v>0</v>
      </c>
      <c r="AB54" s="18">
        <f t="shared" si="39"/>
        <v>0</v>
      </c>
      <c r="AD54" s="35">
        <v>15</v>
      </c>
      <c r="AE54" s="35">
        <f>G54*0</f>
        <v>0</v>
      </c>
      <c r="AF54" s="35">
        <f>G54*(1-0)</f>
        <v>0</v>
      </c>
      <c r="AM54" s="35">
        <f t="shared" si="40"/>
        <v>0</v>
      </c>
      <c r="AN54" s="35">
        <f t="shared" si="41"/>
        <v>0</v>
      </c>
      <c r="AO54" s="36" t="s">
        <v>177</v>
      </c>
      <c r="AP54" s="36" t="s">
        <v>181</v>
      </c>
      <c r="AQ54" s="27" t="s">
        <v>182</v>
      </c>
    </row>
    <row r="55" spans="1:43" ht="12.75">
      <c r="A55" s="4" t="s">
        <v>37</v>
      </c>
      <c r="B55" s="4"/>
      <c r="C55" s="4" t="s">
        <v>80</v>
      </c>
      <c r="D55" s="4" t="s">
        <v>125</v>
      </c>
      <c r="E55" s="4" t="s">
        <v>137</v>
      </c>
      <c r="F55" s="18">
        <v>3.65</v>
      </c>
      <c r="G55" s="18">
        <v>0</v>
      </c>
      <c r="H55" s="18">
        <f t="shared" si="32"/>
        <v>0</v>
      </c>
      <c r="I55" s="18">
        <f t="shared" si="33"/>
        <v>0</v>
      </c>
      <c r="J55" s="18">
        <f t="shared" si="34"/>
        <v>0</v>
      </c>
      <c r="K55" s="18">
        <v>0</v>
      </c>
      <c r="L55" s="18">
        <f t="shared" si="35"/>
        <v>0</v>
      </c>
      <c r="M55" s="30" t="s">
        <v>157</v>
      </c>
      <c r="N55" s="30" t="s">
        <v>11</v>
      </c>
      <c r="O55" s="18">
        <f t="shared" si="36"/>
        <v>0</v>
      </c>
      <c r="Z55" s="18">
        <f t="shared" si="37"/>
        <v>0</v>
      </c>
      <c r="AA55" s="18">
        <f t="shared" si="38"/>
        <v>0</v>
      </c>
      <c r="AB55" s="18">
        <f t="shared" si="39"/>
        <v>0</v>
      </c>
      <c r="AD55" s="35">
        <v>15</v>
      </c>
      <c r="AE55" s="35">
        <f>G55*0</f>
        <v>0</v>
      </c>
      <c r="AF55" s="35">
        <f>G55*(1-0)</f>
        <v>0</v>
      </c>
      <c r="AM55" s="35">
        <f t="shared" si="40"/>
        <v>0</v>
      </c>
      <c r="AN55" s="35">
        <f t="shared" si="41"/>
        <v>0</v>
      </c>
      <c r="AO55" s="36" t="s">
        <v>177</v>
      </c>
      <c r="AP55" s="36" t="s">
        <v>181</v>
      </c>
      <c r="AQ55" s="27" t="s">
        <v>182</v>
      </c>
    </row>
    <row r="56" spans="1:43" ht="12.75">
      <c r="A56" s="4" t="s">
        <v>38</v>
      </c>
      <c r="B56" s="4"/>
      <c r="C56" s="4" t="s">
        <v>81</v>
      </c>
      <c r="D56" s="4" t="s">
        <v>126</v>
      </c>
      <c r="E56" s="4" t="s">
        <v>137</v>
      </c>
      <c r="F56" s="18">
        <v>3.65</v>
      </c>
      <c r="G56" s="18">
        <v>0</v>
      </c>
      <c r="H56" s="18">
        <f t="shared" si="32"/>
        <v>0</v>
      </c>
      <c r="I56" s="18">
        <f t="shared" si="33"/>
        <v>0</v>
      </c>
      <c r="J56" s="18">
        <f t="shared" si="34"/>
        <v>0</v>
      </c>
      <c r="K56" s="18">
        <v>0</v>
      </c>
      <c r="L56" s="18">
        <f t="shared" si="35"/>
        <v>0</v>
      </c>
      <c r="M56" s="30" t="s">
        <v>157</v>
      </c>
      <c r="N56" s="30" t="s">
        <v>11</v>
      </c>
      <c r="O56" s="18">
        <f t="shared" si="36"/>
        <v>0</v>
      </c>
      <c r="Z56" s="18">
        <f t="shared" si="37"/>
        <v>0</v>
      </c>
      <c r="AA56" s="18">
        <f t="shared" si="38"/>
        <v>0</v>
      </c>
      <c r="AB56" s="18">
        <f t="shared" si="39"/>
        <v>0</v>
      </c>
      <c r="AD56" s="35">
        <v>15</v>
      </c>
      <c r="AE56" s="35">
        <f>G56*0.00914225092826609</f>
        <v>0</v>
      </c>
      <c r="AF56" s="35">
        <f>G56*(1-0.00914225092826609)</f>
        <v>0</v>
      </c>
      <c r="AM56" s="35">
        <f t="shared" si="40"/>
        <v>0</v>
      </c>
      <c r="AN56" s="35">
        <f t="shared" si="41"/>
        <v>0</v>
      </c>
      <c r="AO56" s="36" t="s">
        <v>177</v>
      </c>
      <c r="AP56" s="36" t="s">
        <v>181</v>
      </c>
      <c r="AQ56" s="27" t="s">
        <v>182</v>
      </c>
    </row>
    <row r="57" spans="1:43" ht="12.75">
      <c r="A57" s="4" t="s">
        <v>39</v>
      </c>
      <c r="B57" s="4"/>
      <c r="C57" s="4" t="s">
        <v>82</v>
      </c>
      <c r="D57" s="4" t="s">
        <v>127</v>
      </c>
      <c r="E57" s="4" t="s">
        <v>137</v>
      </c>
      <c r="F57" s="18">
        <v>1.4</v>
      </c>
      <c r="G57" s="18">
        <v>0</v>
      </c>
      <c r="H57" s="18">
        <f t="shared" si="32"/>
        <v>0</v>
      </c>
      <c r="I57" s="18">
        <f t="shared" si="33"/>
        <v>0</v>
      </c>
      <c r="J57" s="18">
        <f t="shared" si="34"/>
        <v>0</v>
      </c>
      <c r="K57" s="18">
        <v>0</v>
      </c>
      <c r="L57" s="18">
        <f t="shared" si="35"/>
        <v>0</v>
      </c>
      <c r="M57" s="30" t="s">
        <v>157</v>
      </c>
      <c r="N57" s="30" t="s">
        <v>11</v>
      </c>
      <c r="O57" s="18">
        <f t="shared" si="36"/>
        <v>0</v>
      </c>
      <c r="Z57" s="18">
        <f t="shared" si="37"/>
        <v>0</v>
      </c>
      <c r="AA57" s="18">
        <f t="shared" si="38"/>
        <v>0</v>
      </c>
      <c r="AB57" s="18">
        <f t="shared" si="39"/>
        <v>0</v>
      </c>
      <c r="AD57" s="35">
        <v>15</v>
      </c>
      <c r="AE57" s="35">
        <f>G57*0</f>
        <v>0</v>
      </c>
      <c r="AF57" s="35">
        <f>G57*(1-0)</f>
        <v>0</v>
      </c>
      <c r="AM57" s="35">
        <f t="shared" si="40"/>
        <v>0</v>
      </c>
      <c r="AN57" s="35">
        <f t="shared" si="41"/>
        <v>0</v>
      </c>
      <c r="AO57" s="36" t="s">
        <v>177</v>
      </c>
      <c r="AP57" s="36" t="s">
        <v>181</v>
      </c>
      <c r="AQ57" s="27" t="s">
        <v>182</v>
      </c>
    </row>
    <row r="58" spans="1:43" ht="12.75">
      <c r="A58" s="7" t="s">
        <v>40</v>
      </c>
      <c r="B58" s="7"/>
      <c r="C58" s="7" t="s">
        <v>83</v>
      </c>
      <c r="D58" s="7" t="s">
        <v>128</v>
      </c>
      <c r="E58" s="7" t="s">
        <v>137</v>
      </c>
      <c r="F58" s="20">
        <v>2.25</v>
      </c>
      <c r="G58" s="20">
        <v>0</v>
      </c>
      <c r="H58" s="20">
        <f t="shared" si="32"/>
        <v>0</v>
      </c>
      <c r="I58" s="20">
        <f t="shared" si="33"/>
        <v>0</v>
      </c>
      <c r="J58" s="20">
        <f t="shared" si="34"/>
        <v>0</v>
      </c>
      <c r="K58" s="20">
        <v>0</v>
      </c>
      <c r="L58" s="20">
        <f t="shared" si="35"/>
        <v>0</v>
      </c>
      <c r="M58" s="32" t="s">
        <v>157</v>
      </c>
      <c r="N58" s="30" t="s">
        <v>11</v>
      </c>
      <c r="O58" s="18">
        <f t="shared" si="36"/>
        <v>0</v>
      </c>
      <c r="Z58" s="18">
        <f t="shared" si="37"/>
        <v>0</v>
      </c>
      <c r="AA58" s="18">
        <f t="shared" si="38"/>
        <v>0</v>
      </c>
      <c r="AB58" s="18">
        <f t="shared" si="39"/>
        <v>0</v>
      </c>
      <c r="AD58" s="35">
        <v>15</v>
      </c>
      <c r="AE58" s="35">
        <f>G58*0</f>
        <v>0</v>
      </c>
      <c r="AF58" s="35">
        <f>G58*(1-0)</f>
        <v>0</v>
      </c>
      <c r="AM58" s="35">
        <f t="shared" si="40"/>
        <v>0</v>
      </c>
      <c r="AN58" s="35">
        <f t="shared" si="41"/>
        <v>0</v>
      </c>
      <c r="AO58" s="36" t="s">
        <v>177</v>
      </c>
      <c r="AP58" s="36" t="s">
        <v>181</v>
      </c>
      <c r="AQ58" s="27" t="s">
        <v>182</v>
      </c>
    </row>
    <row r="59" spans="1:28" ht="12.75">
      <c r="A59" s="8"/>
      <c r="B59" s="8"/>
      <c r="C59" s="8"/>
      <c r="D59" s="8"/>
      <c r="E59" s="8"/>
      <c r="F59" s="8"/>
      <c r="G59" s="8"/>
      <c r="H59" s="87" t="s">
        <v>144</v>
      </c>
      <c r="I59" s="88"/>
      <c r="J59" s="39">
        <f>J12+J22+J28+J42+J47+J50+J52</f>
        <v>0</v>
      </c>
      <c r="K59" s="8"/>
      <c r="L59" s="8"/>
      <c r="M59" s="8"/>
      <c r="Z59" s="40">
        <f>SUM(Z13:Z58)</f>
        <v>0</v>
      </c>
      <c r="AA59" s="40">
        <f>SUM(AA13:AA58)</f>
        <v>0</v>
      </c>
      <c r="AB59" s="40">
        <f>SUM(AB13:AB58)</f>
        <v>0</v>
      </c>
    </row>
    <row r="60" ht="11.25" customHeight="1">
      <c r="A60" s="9" t="s">
        <v>41</v>
      </c>
    </row>
    <row r="61" spans="1:13" ht="409.5" customHeight="1" hidden="1">
      <c r="A61" s="72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</sheetData>
  <sheetProtection/>
  <mergeCells count="41">
    <mergeCell ref="D50:G50"/>
    <mergeCell ref="D52:G52"/>
    <mergeCell ref="H59:I59"/>
    <mergeCell ref="A61:M61"/>
    <mergeCell ref="D35:M35"/>
    <mergeCell ref="D42:G42"/>
    <mergeCell ref="D44:M44"/>
    <mergeCell ref="D46:M46"/>
    <mergeCell ref="D47:G47"/>
    <mergeCell ref="D49:M49"/>
    <mergeCell ref="H10:J10"/>
    <mergeCell ref="K10:L10"/>
    <mergeCell ref="D12:G12"/>
    <mergeCell ref="D22:G22"/>
    <mergeCell ref="D26:M26"/>
    <mergeCell ref="D28:G2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8"/>
      <c r="B1" s="41"/>
      <c r="C1" s="89" t="s">
        <v>198</v>
      </c>
      <c r="D1" s="90"/>
      <c r="E1" s="90"/>
      <c r="F1" s="90"/>
      <c r="G1" s="90"/>
      <c r="H1" s="90"/>
      <c r="I1" s="90"/>
    </row>
    <row r="2" spans="1:10" ht="12.75">
      <c r="A2" s="61" t="s">
        <v>1</v>
      </c>
      <c r="B2" s="62"/>
      <c r="C2" s="65" t="s">
        <v>84</v>
      </c>
      <c r="D2" s="88"/>
      <c r="E2" s="68" t="s">
        <v>145</v>
      </c>
      <c r="F2" s="68" t="s">
        <v>150</v>
      </c>
      <c r="G2" s="62"/>
      <c r="H2" s="68" t="s">
        <v>223</v>
      </c>
      <c r="I2" s="91"/>
      <c r="J2" s="33"/>
    </row>
    <row r="3" spans="1:10" ht="25.5" customHeight="1">
      <c r="A3" s="63"/>
      <c r="B3" s="64"/>
      <c r="C3" s="66"/>
      <c r="D3" s="66"/>
      <c r="E3" s="64"/>
      <c r="F3" s="64"/>
      <c r="G3" s="64"/>
      <c r="H3" s="64"/>
      <c r="I3" s="70"/>
      <c r="J3" s="33"/>
    </row>
    <row r="4" spans="1:10" ht="12.75">
      <c r="A4" s="71" t="s">
        <v>2</v>
      </c>
      <c r="B4" s="64"/>
      <c r="C4" s="72" t="s">
        <v>85</v>
      </c>
      <c r="D4" s="64"/>
      <c r="E4" s="72" t="s">
        <v>146</v>
      </c>
      <c r="F4" s="72" t="s">
        <v>151</v>
      </c>
      <c r="G4" s="64"/>
      <c r="H4" s="72" t="s">
        <v>223</v>
      </c>
      <c r="I4" s="92"/>
      <c r="J4" s="33"/>
    </row>
    <row r="5" spans="1:10" ht="12.75">
      <c r="A5" s="63"/>
      <c r="B5" s="64"/>
      <c r="C5" s="64"/>
      <c r="D5" s="64"/>
      <c r="E5" s="64"/>
      <c r="F5" s="64"/>
      <c r="G5" s="64"/>
      <c r="H5" s="64"/>
      <c r="I5" s="70"/>
      <c r="J5" s="33"/>
    </row>
    <row r="6" spans="1:10" ht="12.75">
      <c r="A6" s="71" t="s">
        <v>3</v>
      </c>
      <c r="B6" s="64"/>
      <c r="C6" s="72" t="s">
        <v>86</v>
      </c>
      <c r="D6" s="64"/>
      <c r="E6" s="72" t="s">
        <v>147</v>
      </c>
      <c r="F6" s="72"/>
      <c r="G6" s="64"/>
      <c r="H6" s="72" t="s">
        <v>223</v>
      </c>
      <c r="I6" s="92"/>
      <c r="J6" s="33"/>
    </row>
    <row r="7" spans="1:10" ht="12.75">
      <c r="A7" s="63"/>
      <c r="B7" s="64"/>
      <c r="C7" s="64"/>
      <c r="D7" s="64"/>
      <c r="E7" s="64"/>
      <c r="F7" s="64"/>
      <c r="G7" s="64"/>
      <c r="H7" s="64"/>
      <c r="I7" s="70"/>
      <c r="J7" s="33"/>
    </row>
    <row r="8" spans="1:10" ht="12.75">
      <c r="A8" s="71" t="s">
        <v>130</v>
      </c>
      <c r="B8" s="64"/>
      <c r="C8" s="73" t="s">
        <v>6</v>
      </c>
      <c r="D8" s="64"/>
      <c r="E8" s="72" t="s">
        <v>131</v>
      </c>
      <c r="F8" s="64"/>
      <c r="G8" s="64"/>
      <c r="H8" s="73" t="s">
        <v>224</v>
      </c>
      <c r="I8" s="92" t="s">
        <v>40</v>
      </c>
      <c r="J8" s="33"/>
    </row>
    <row r="9" spans="1:10" ht="12.75">
      <c r="A9" s="63"/>
      <c r="B9" s="64"/>
      <c r="C9" s="64"/>
      <c r="D9" s="64"/>
      <c r="E9" s="64"/>
      <c r="F9" s="64"/>
      <c r="G9" s="64"/>
      <c r="H9" s="64"/>
      <c r="I9" s="70"/>
      <c r="J9" s="33"/>
    </row>
    <row r="10" spans="1:10" ht="12.75">
      <c r="A10" s="71" t="s">
        <v>4</v>
      </c>
      <c r="B10" s="64"/>
      <c r="C10" s="72"/>
      <c r="D10" s="64"/>
      <c r="E10" s="72" t="s">
        <v>148</v>
      </c>
      <c r="F10" s="72" t="s">
        <v>152</v>
      </c>
      <c r="G10" s="64"/>
      <c r="H10" s="73" t="s">
        <v>225</v>
      </c>
      <c r="I10" s="95">
        <v>42494</v>
      </c>
      <c r="J10" s="33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6"/>
      <c r="J11" s="33"/>
    </row>
    <row r="12" spans="1:9" ht="23.25" customHeight="1">
      <c r="A12" s="97" t="s">
        <v>183</v>
      </c>
      <c r="B12" s="98"/>
      <c r="C12" s="98"/>
      <c r="D12" s="98"/>
      <c r="E12" s="98"/>
      <c r="F12" s="98"/>
      <c r="G12" s="98"/>
      <c r="H12" s="98"/>
      <c r="I12" s="98"/>
    </row>
    <row r="13" spans="1:10" ht="26.25" customHeight="1">
      <c r="A13" s="42" t="s">
        <v>184</v>
      </c>
      <c r="B13" s="99" t="s">
        <v>196</v>
      </c>
      <c r="C13" s="100"/>
      <c r="D13" s="42" t="s">
        <v>199</v>
      </c>
      <c r="E13" s="99" t="s">
        <v>208</v>
      </c>
      <c r="F13" s="100"/>
      <c r="G13" s="42" t="s">
        <v>209</v>
      </c>
      <c r="H13" s="99" t="s">
        <v>226</v>
      </c>
      <c r="I13" s="100"/>
      <c r="J13" s="33"/>
    </row>
    <row r="14" spans="1:10" ht="15" customHeight="1">
      <c r="A14" s="43" t="s">
        <v>185</v>
      </c>
      <c r="B14" s="47" t="s">
        <v>197</v>
      </c>
      <c r="C14" s="51">
        <f>SUM('Stavební rozpočet'!R12:R58)</f>
        <v>0</v>
      </c>
      <c r="D14" s="101" t="s">
        <v>200</v>
      </c>
      <c r="E14" s="102"/>
      <c r="F14" s="51">
        <v>0</v>
      </c>
      <c r="G14" s="101" t="s">
        <v>210</v>
      </c>
      <c r="H14" s="102"/>
      <c r="I14" s="51">
        <v>0</v>
      </c>
      <c r="J14" s="33"/>
    </row>
    <row r="15" spans="1:10" ht="15" customHeight="1">
      <c r="A15" s="44"/>
      <c r="B15" s="47" t="s">
        <v>149</v>
      </c>
      <c r="C15" s="51">
        <f>SUM('Stavební rozpočet'!S12:S58)</f>
        <v>0</v>
      </c>
      <c r="D15" s="101" t="s">
        <v>201</v>
      </c>
      <c r="E15" s="102"/>
      <c r="F15" s="51">
        <v>0</v>
      </c>
      <c r="G15" s="101" t="s">
        <v>211</v>
      </c>
      <c r="H15" s="102"/>
      <c r="I15" s="51">
        <v>0</v>
      </c>
      <c r="J15" s="33"/>
    </row>
    <row r="16" spans="1:10" ht="15" customHeight="1">
      <c r="A16" s="43" t="s">
        <v>186</v>
      </c>
      <c r="B16" s="47" t="s">
        <v>197</v>
      </c>
      <c r="C16" s="51">
        <f>SUM('Stavební rozpočet'!T12:T58)</f>
        <v>0</v>
      </c>
      <c r="D16" s="101" t="s">
        <v>202</v>
      </c>
      <c r="E16" s="102"/>
      <c r="F16" s="51">
        <v>0</v>
      </c>
      <c r="G16" s="101" t="s">
        <v>212</v>
      </c>
      <c r="H16" s="102"/>
      <c r="I16" s="51">
        <v>0</v>
      </c>
      <c r="J16" s="33"/>
    </row>
    <row r="17" spans="1:10" ht="15" customHeight="1">
      <c r="A17" s="44"/>
      <c r="B17" s="47" t="s">
        <v>149</v>
      </c>
      <c r="C17" s="51">
        <f>SUM('Stavební rozpočet'!U12:U58)</f>
        <v>0</v>
      </c>
      <c r="D17" s="101"/>
      <c r="E17" s="102"/>
      <c r="F17" s="52"/>
      <c r="G17" s="101" t="s">
        <v>213</v>
      </c>
      <c r="H17" s="102"/>
      <c r="I17" s="51">
        <v>0</v>
      </c>
      <c r="J17" s="33"/>
    </row>
    <row r="18" spans="1:10" ht="15" customHeight="1">
      <c r="A18" s="43" t="s">
        <v>187</v>
      </c>
      <c r="B18" s="47" t="s">
        <v>197</v>
      </c>
      <c r="C18" s="51">
        <f>SUM('Stavební rozpočet'!V12:V58)</f>
        <v>0</v>
      </c>
      <c r="D18" s="101"/>
      <c r="E18" s="102"/>
      <c r="F18" s="52"/>
      <c r="G18" s="101" t="s">
        <v>214</v>
      </c>
      <c r="H18" s="102"/>
      <c r="I18" s="51">
        <v>0</v>
      </c>
      <c r="J18" s="33"/>
    </row>
    <row r="19" spans="1:10" ht="15" customHeight="1">
      <c r="A19" s="44"/>
      <c r="B19" s="47" t="s">
        <v>149</v>
      </c>
      <c r="C19" s="51">
        <f>SUM('Stavební rozpočet'!W12:W58)</f>
        <v>0</v>
      </c>
      <c r="D19" s="101"/>
      <c r="E19" s="102"/>
      <c r="F19" s="52"/>
      <c r="G19" s="101" t="s">
        <v>215</v>
      </c>
      <c r="H19" s="102"/>
      <c r="I19" s="51">
        <v>0</v>
      </c>
      <c r="J19" s="33"/>
    </row>
    <row r="20" spans="1:10" ht="15" customHeight="1">
      <c r="A20" s="103" t="s">
        <v>188</v>
      </c>
      <c r="B20" s="104"/>
      <c r="C20" s="51">
        <f>SUM('Stavební rozpočet'!X12:X58)</f>
        <v>0</v>
      </c>
      <c r="D20" s="101"/>
      <c r="E20" s="102"/>
      <c r="F20" s="52"/>
      <c r="G20" s="101"/>
      <c r="H20" s="102"/>
      <c r="I20" s="52"/>
      <c r="J20" s="33"/>
    </row>
    <row r="21" spans="1:10" ht="15" customHeight="1">
      <c r="A21" s="103" t="s">
        <v>189</v>
      </c>
      <c r="B21" s="104"/>
      <c r="C21" s="51">
        <f>SUM('Stavební rozpočet'!P12:P58)</f>
        <v>0</v>
      </c>
      <c r="D21" s="101"/>
      <c r="E21" s="102"/>
      <c r="F21" s="52"/>
      <c r="G21" s="101"/>
      <c r="H21" s="102"/>
      <c r="I21" s="52"/>
      <c r="J21" s="33"/>
    </row>
    <row r="22" spans="1:10" ht="16.5" customHeight="1">
      <c r="A22" s="103" t="s">
        <v>190</v>
      </c>
      <c r="B22" s="104"/>
      <c r="C22" s="51">
        <f>SUM(C14:C21)</f>
        <v>0</v>
      </c>
      <c r="D22" s="103" t="s">
        <v>203</v>
      </c>
      <c r="E22" s="104"/>
      <c r="F22" s="51">
        <f>SUM(F14:F21)</f>
        <v>0</v>
      </c>
      <c r="G22" s="103" t="s">
        <v>216</v>
      </c>
      <c r="H22" s="104"/>
      <c r="I22" s="51">
        <f>SUM(I14:I21)</f>
        <v>0</v>
      </c>
      <c r="J22" s="33"/>
    </row>
    <row r="23" spans="1:10" ht="15" customHeight="1">
      <c r="A23" s="8"/>
      <c r="B23" s="8"/>
      <c r="C23" s="49"/>
      <c r="D23" s="103" t="s">
        <v>204</v>
      </c>
      <c r="E23" s="104"/>
      <c r="F23" s="53">
        <v>0</v>
      </c>
      <c r="G23" s="103" t="s">
        <v>217</v>
      </c>
      <c r="H23" s="104"/>
      <c r="I23" s="51">
        <v>0</v>
      </c>
      <c r="J23" s="33"/>
    </row>
    <row r="24" spans="4:9" ht="15" customHeight="1">
      <c r="D24" s="8"/>
      <c r="E24" s="8"/>
      <c r="F24" s="54"/>
      <c r="G24" s="103" t="s">
        <v>218</v>
      </c>
      <c r="H24" s="104"/>
      <c r="I24" s="56"/>
    </row>
    <row r="25" spans="6:10" ht="15" customHeight="1">
      <c r="F25" s="55"/>
      <c r="G25" s="103" t="s">
        <v>219</v>
      </c>
      <c r="H25" s="104"/>
      <c r="I25" s="51">
        <v>0</v>
      </c>
      <c r="J25" s="33"/>
    </row>
    <row r="26" spans="1:9" ht="12.75">
      <c r="A26" s="41"/>
      <c r="B26" s="41"/>
      <c r="C26" s="41"/>
      <c r="G26" s="8"/>
      <c r="H26" s="8"/>
      <c r="I26" s="8"/>
    </row>
    <row r="27" spans="1:9" ht="15" customHeight="1">
      <c r="A27" s="105" t="s">
        <v>191</v>
      </c>
      <c r="B27" s="106"/>
      <c r="C27" s="57">
        <f>SUM('Stavební rozpočet'!Z12:Z58)</f>
        <v>0</v>
      </c>
      <c r="D27" s="50"/>
      <c r="E27" s="41"/>
      <c r="F27" s="41"/>
      <c r="G27" s="41"/>
      <c r="H27" s="41"/>
      <c r="I27" s="41"/>
    </row>
    <row r="28" spans="1:10" ht="15" customHeight="1">
      <c r="A28" s="105" t="s">
        <v>192</v>
      </c>
      <c r="B28" s="106"/>
      <c r="C28" s="57">
        <f>SUM('Stavební rozpočet'!AA12:AA58)+(F22+I22+F23+I23+I24+I25)</f>
        <v>0</v>
      </c>
      <c r="D28" s="105" t="s">
        <v>205</v>
      </c>
      <c r="E28" s="106"/>
      <c r="F28" s="57">
        <f>ROUND(C28*(15/100),2)</f>
        <v>0</v>
      </c>
      <c r="G28" s="105" t="s">
        <v>220</v>
      </c>
      <c r="H28" s="106"/>
      <c r="I28" s="57">
        <f>SUM(C27:C29)</f>
        <v>0</v>
      </c>
      <c r="J28" s="33"/>
    </row>
    <row r="29" spans="1:10" ht="15" customHeight="1">
      <c r="A29" s="105" t="s">
        <v>193</v>
      </c>
      <c r="B29" s="106"/>
      <c r="C29" s="57">
        <f>SUM('Stavební rozpočet'!AB12:AB58)</f>
        <v>0</v>
      </c>
      <c r="D29" s="105" t="s">
        <v>206</v>
      </c>
      <c r="E29" s="106"/>
      <c r="F29" s="57">
        <f>ROUND(C29*(21/100),2)</f>
        <v>0</v>
      </c>
      <c r="G29" s="105" t="s">
        <v>221</v>
      </c>
      <c r="H29" s="106"/>
      <c r="I29" s="57">
        <f>SUM(F28:F29)+I28</f>
        <v>0</v>
      </c>
      <c r="J29" s="33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10" ht="14.25" customHeight="1">
      <c r="A31" s="107" t="s">
        <v>194</v>
      </c>
      <c r="B31" s="108"/>
      <c r="C31" s="109"/>
      <c r="D31" s="107" t="s">
        <v>207</v>
      </c>
      <c r="E31" s="108"/>
      <c r="F31" s="109"/>
      <c r="G31" s="107" t="s">
        <v>222</v>
      </c>
      <c r="H31" s="108"/>
      <c r="I31" s="109"/>
      <c r="J31" s="34"/>
    </row>
    <row r="32" spans="1:10" ht="14.25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34"/>
    </row>
    <row r="33" spans="1:10" ht="14.25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34"/>
    </row>
    <row r="34" spans="1:10" ht="14.25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34"/>
    </row>
    <row r="35" spans="1:10" ht="14.25" customHeight="1">
      <c r="A35" s="113" t="s">
        <v>195</v>
      </c>
      <c r="B35" s="114"/>
      <c r="C35" s="115"/>
      <c r="D35" s="113" t="s">
        <v>195</v>
      </c>
      <c r="E35" s="114"/>
      <c r="F35" s="115"/>
      <c r="G35" s="113" t="s">
        <v>195</v>
      </c>
      <c r="H35" s="114"/>
      <c r="I35" s="115"/>
      <c r="J35" s="34"/>
    </row>
    <row r="36" spans="1:9" ht="11.25" customHeight="1">
      <c r="A36" s="46" t="s">
        <v>41</v>
      </c>
      <c r="B36" s="48"/>
      <c r="C36" s="48"/>
      <c r="D36" s="48"/>
      <c r="E36" s="48"/>
      <c r="F36" s="48"/>
      <c r="G36" s="48"/>
      <c r="H36" s="48"/>
      <c r="I36" s="48"/>
    </row>
    <row r="37" spans="1:9" ht="409.5" customHeight="1" hidden="1">
      <c r="A37" s="72"/>
      <c r="B37" s="64"/>
      <c r="C37" s="64"/>
      <c r="D37" s="64"/>
      <c r="E37" s="64"/>
      <c r="F37" s="64"/>
      <c r="G37" s="64"/>
      <c r="H37" s="64"/>
      <c r="I37" s="6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Pleskotová</dc:creator>
  <cp:keywords/>
  <dc:description/>
  <cp:lastModifiedBy>Zdvořáková Blanka</cp:lastModifiedBy>
  <cp:lastPrinted>2016-05-04T12:44:02Z</cp:lastPrinted>
  <dcterms:created xsi:type="dcterms:W3CDTF">2016-05-19T06:44:58Z</dcterms:created>
  <dcterms:modified xsi:type="dcterms:W3CDTF">2016-05-23T12:17:24Z</dcterms:modified>
  <cp:category/>
  <cp:version/>
  <cp:contentType/>
  <cp:contentStatus/>
</cp:coreProperties>
</file>