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p\investice\ENERGOooooooooooooooooooooo\2024 Informační systém EnMS\B. Informační systém EnMS\"/>
    </mc:Choice>
  </mc:AlternateContent>
  <xr:revisionPtr revIDLastSave="0" documentId="13_ncr:1_{0995D828-DE84-407F-A0F2-CE79B73A491E}" xr6:coauthVersionLast="36" xr6:coauthVersionMax="36" xr10:uidLastSave="{00000000-0000-0000-0000-000000000000}"/>
  <bookViews>
    <workbookView xWindow="0" yWindow="0" windowWidth="28800" windowHeight="12105" xr2:uid="{26C9A262-37CE-41EF-B423-714624844BAD}"/>
  </bookViews>
  <sheets>
    <sheet name="Souhrn" sheetId="1" r:id="rId1"/>
    <sheet name="2025" sheetId="5" r:id="rId2"/>
  </sheets>
  <definedNames>
    <definedName name="_xlnm._FilterDatabase" localSheetId="1" hidden="1">'2025'!$A$2:$AG$204</definedName>
    <definedName name="OLE_LINK11" localSheetId="0">Souhrn!#REF!</definedName>
    <definedName name="OLE_LINK9" localSheetId="0">Souhrn!#REF!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6" i="5" l="1"/>
  <c r="P146" i="5"/>
  <c r="N146" i="5"/>
  <c r="L146" i="5"/>
  <c r="J146" i="5"/>
  <c r="R140" i="5"/>
  <c r="P140" i="5"/>
  <c r="R139" i="5"/>
  <c r="P139" i="5"/>
  <c r="AV28" i="1" l="1"/>
  <c r="R16" i="5" l="1"/>
  <c r="P24" i="5" l="1"/>
  <c r="R31" i="5"/>
  <c r="R30" i="5"/>
  <c r="R29" i="5"/>
  <c r="R28" i="5"/>
  <c r="R40" i="5"/>
  <c r="R39" i="5"/>
  <c r="R38" i="5"/>
  <c r="P40" i="5"/>
  <c r="P39" i="5"/>
  <c r="P38" i="5"/>
  <c r="R24" i="5"/>
  <c r="P23" i="5"/>
  <c r="P22" i="5"/>
  <c r="R23" i="5"/>
  <c r="R22" i="5"/>
  <c r="R21" i="5"/>
  <c r="T21" i="5"/>
  <c r="R20" i="5"/>
  <c r="T20" i="5"/>
  <c r="J72" i="5"/>
  <c r="AF74" i="5"/>
  <c r="AD74" i="5"/>
  <c r="AB74" i="5"/>
  <c r="Z74" i="5"/>
  <c r="X74" i="5"/>
  <c r="V74" i="5"/>
  <c r="T74" i="5"/>
  <c r="R74" i="5"/>
  <c r="P74" i="5"/>
  <c r="N74" i="5"/>
  <c r="L74" i="5"/>
  <c r="J74" i="5"/>
  <c r="AF73" i="5"/>
  <c r="AD73" i="5"/>
  <c r="AB73" i="5"/>
  <c r="Z73" i="5"/>
  <c r="X73" i="5"/>
  <c r="V73" i="5"/>
  <c r="T73" i="5"/>
  <c r="R73" i="5"/>
  <c r="P73" i="5"/>
  <c r="N73" i="5"/>
  <c r="L73" i="5"/>
  <c r="J73" i="5"/>
  <c r="AF72" i="5"/>
  <c r="AD72" i="5"/>
  <c r="AB72" i="5"/>
  <c r="Z72" i="5"/>
  <c r="X72" i="5"/>
  <c r="V72" i="5"/>
  <c r="T72" i="5"/>
  <c r="R72" i="5"/>
  <c r="P72" i="5"/>
  <c r="N72" i="5"/>
  <c r="L72" i="5"/>
  <c r="AG72" i="5" l="1"/>
  <c r="AG73" i="5"/>
  <c r="AG74" i="5"/>
  <c r="AF143" i="5"/>
  <c r="AD143" i="5"/>
  <c r="AB143" i="5"/>
  <c r="Z143" i="5"/>
  <c r="X143" i="5"/>
  <c r="V143" i="5"/>
  <c r="T143" i="5"/>
  <c r="R143" i="5"/>
  <c r="P143" i="5"/>
  <c r="N143" i="5"/>
  <c r="L143" i="5"/>
  <c r="J143" i="5"/>
  <c r="P119" i="5" l="1"/>
  <c r="P31" i="5" l="1"/>
  <c r="P30" i="5"/>
  <c r="P29" i="5"/>
  <c r="P28" i="5"/>
  <c r="P64" i="5"/>
  <c r="N166" i="5" l="1"/>
  <c r="L166" i="5"/>
  <c r="AF166" i="5"/>
  <c r="AD166" i="5"/>
  <c r="AB166" i="5"/>
  <c r="Z166" i="5"/>
  <c r="X166" i="5"/>
  <c r="V166" i="5"/>
  <c r="T166" i="5"/>
  <c r="R166" i="5"/>
  <c r="P166" i="5"/>
  <c r="J166" i="5"/>
  <c r="AF165" i="5"/>
  <c r="AD165" i="5"/>
  <c r="AB165" i="5"/>
  <c r="Z165" i="5"/>
  <c r="X165" i="5"/>
  <c r="V165" i="5"/>
  <c r="T165" i="5"/>
  <c r="R165" i="5"/>
  <c r="P165" i="5"/>
  <c r="N165" i="5"/>
  <c r="L165" i="5"/>
  <c r="J165" i="5"/>
  <c r="AG165" i="5" l="1"/>
  <c r="AV46" i="1" s="1"/>
  <c r="AG166" i="5"/>
  <c r="P186" i="5"/>
  <c r="N140" i="5" l="1"/>
  <c r="N139" i="5"/>
  <c r="N40" i="5" l="1"/>
  <c r="N39" i="5"/>
  <c r="N38" i="5"/>
  <c r="N31" i="5"/>
  <c r="N30" i="5"/>
  <c r="N29" i="5"/>
  <c r="N28" i="5"/>
  <c r="P21" i="5"/>
  <c r="P20" i="5"/>
  <c r="J79" i="5" l="1"/>
  <c r="J158" i="5"/>
  <c r="L98" i="5" l="1"/>
  <c r="L19" i="5"/>
  <c r="L200" i="5" l="1"/>
  <c r="L140" i="5" l="1"/>
  <c r="L141" i="5"/>
  <c r="L142" i="5"/>
  <c r="J34" i="5" l="1"/>
  <c r="J131" i="5"/>
  <c r="L40" i="5" l="1"/>
  <c r="L39" i="5"/>
  <c r="L38" i="5"/>
  <c r="J40" i="5"/>
  <c r="J39" i="5"/>
  <c r="J38" i="5"/>
  <c r="L24" i="5"/>
  <c r="N24" i="5"/>
  <c r="N23" i="5"/>
  <c r="N22" i="5"/>
  <c r="N21" i="5"/>
  <c r="N20" i="5"/>
  <c r="AF173" i="5" l="1"/>
  <c r="AD173" i="5"/>
  <c r="AB173" i="5"/>
  <c r="Z173" i="5"/>
  <c r="X173" i="5"/>
  <c r="V173" i="5"/>
  <c r="T173" i="5"/>
  <c r="R173" i="5"/>
  <c r="P173" i="5"/>
  <c r="N173" i="5"/>
  <c r="L173" i="5"/>
  <c r="J173" i="5"/>
  <c r="J193" i="5"/>
  <c r="J191" i="5"/>
  <c r="AG173" i="5" l="1"/>
  <c r="AF172" i="5"/>
  <c r="AD172" i="5"/>
  <c r="AB172" i="5"/>
  <c r="Z172" i="5"/>
  <c r="X172" i="5"/>
  <c r="V172" i="5"/>
  <c r="T172" i="5"/>
  <c r="R172" i="5"/>
  <c r="P172" i="5"/>
  <c r="N172" i="5"/>
  <c r="L172" i="5"/>
  <c r="J172" i="5"/>
  <c r="AG172" i="5" l="1"/>
  <c r="AV51" i="1" s="1"/>
  <c r="AF81" i="5"/>
  <c r="AD81" i="5"/>
  <c r="AB81" i="5"/>
  <c r="Z81" i="5"/>
  <c r="X81" i="5"/>
  <c r="V81" i="5"/>
  <c r="T81" i="5"/>
  <c r="R81" i="5"/>
  <c r="P81" i="5"/>
  <c r="N81" i="5"/>
  <c r="L81" i="5"/>
  <c r="J81" i="5"/>
  <c r="AG81" i="5" l="1"/>
  <c r="L139" i="5" l="1"/>
  <c r="L31" i="5" l="1"/>
  <c r="L30" i="5"/>
  <c r="L29" i="5"/>
  <c r="L28" i="5"/>
  <c r="L22" i="5"/>
  <c r="L23" i="5"/>
  <c r="J76" i="5"/>
  <c r="AF148" i="5"/>
  <c r="AD148" i="5"/>
  <c r="AB148" i="5"/>
  <c r="Z148" i="5"/>
  <c r="X148" i="5"/>
  <c r="V148" i="5"/>
  <c r="T148" i="5"/>
  <c r="R148" i="5"/>
  <c r="P148" i="5"/>
  <c r="N148" i="5"/>
  <c r="L148" i="5"/>
  <c r="J148" i="5"/>
  <c r="AF149" i="5"/>
  <c r="AD149" i="5"/>
  <c r="AB149" i="5"/>
  <c r="Z149" i="5"/>
  <c r="X149" i="5"/>
  <c r="V149" i="5"/>
  <c r="T149" i="5"/>
  <c r="R149" i="5"/>
  <c r="P149" i="5"/>
  <c r="N149" i="5"/>
  <c r="L149" i="5"/>
  <c r="J149" i="5"/>
  <c r="AG148" i="5" l="1"/>
  <c r="AG149" i="5"/>
  <c r="J150" i="5"/>
  <c r="J23" i="5"/>
  <c r="J22" i="5"/>
  <c r="J21" i="5"/>
  <c r="J20" i="5"/>
  <c r="J124" i="5"/>
  <c r="J12" i="5"/>
  <c r="J15" i="5"/>
  <c r="J30" i="5"/>
  <c r="AG30" i="5" s="1"/>
  <c r="AA11" i="1" s="1"/>
  <c r="J29" i="5"/>
  <c r="J28" i="5"/>
  <c r="J31" i="5"/>
  <c r="J140" i="5" l="1"/>
  <c r="J139" i="5"/>
  <c r="J24" i="5" l="1"/>
  <c r="L21" i="5"/>
  <c r="L20" i="5"/>
  <c r="J103" i="5" l="1"/>
  <c r="J80" i="5"/>
  <c r="J177" i="5" l="1"/>
  <c r="AG78" i="5" l="1"/>
  <c r="AH19" i="1" s="1"/>
  <c r="AG77" i="5"/>
  <c r="AH18" i="1" s="1"/>
  <c r="AG140" i="5"/>
  <c r="AG139" i="5"/>
  <c r="J122" i="5"/>
  <c r="L122" i="5"/>
  <c r="N122" i="5"/>
  <c r="P122" i="5"/>
  <c r="R122" i="5"/>
  <c r="T122" i="5"/>
  <c r="V122" i="5"/>
  <c r="X122" i="5"/>
  <c r="Z122" i="5"/>
  <c r="AB122" i="5"/>
  <c r="AD122" i="5"/>
  <c r="AF122" i="5"/>
  <c r="AG41" i="5"/>
  <c r="AA15" i="1" s="1"/>
  <c r="AG40" i="5"/>
  <c r="AV14" i="1" s="1"/>
  <c r="AG39" i="5"/>
  <c r="AG38" i="5"/>
  <c r="AG37" i="5"/>
  <c r="T13" i="1" s="1"/>
  <c r="AG31" i="5"/>
  <c r="AV11" i="1" s="1"/>
  <c r="AG29" i="5"/>
  <c r="AG28" i="5"/>
  <c r="AG23" i="5"/>
  <c r="AV9" i="1" s="1"/>
  <c r="AG22" i="5"/>
  <c r="AG21" i="5"/>
  <c r="AG20" i="5"/>
  <c r="T14" i="1" l="1"/>
  <c r="T33" i="1"/>
  <c r="T9" i="1"/>
  <c r="T11" i="1"/>
  <c r="AF168" i="5"/>
  <c r="AD168" i="5"/>
  <c r="AB168" i="5"/>
  <c r="Z168" i="5"/>
  <c r="X168" i="5"/>
  <c r="V168" i="5"/>
  <c r="T168" i="5"/>
  <c r="R168" i="5"/>
  <c r="P168" i="5"/>
  <c r="N168" i="5"/>
  <c r="L168" i="5"/>
  <c r="J168" i="5"/>
  <c r="AF182" i="5"/>
  <c r="AD182" i="5"/>
  <c r="AB182" i="5"/>
  <c r="Z182" i="5"/>
  <c r="X182" i="5"/>
  <c r="V182" i="5"/>
  <c r="T182" i="5"/>
  <c r="R182" i="5"/>
  <c r="P182" i="5"/>
  <c r="N182" i="5"/>
  <c r="L182" i="5"/>
  <c r="J182" i="5"/>
  <c r="AG181" i="5"/>
  <c r="AH52" i="1" s="1"/>
  <c r="AG167" i="5"/>
  <c r="AH47" i="1" s="1"/>
  <c r="AG164" i="5"/>
  <c r="AG160" i="5"/>
  <c r="AH41" i="1" s="1"/>
  <c r="AG157" i="5"/>
  <c r="AA40" i="1" s="1"/>
  <c r="AG147" i="5"/>
  <c r="AV35" i="1" s="1"/>
  <c r="AG146" i="5"/>
  <c r="AH35" i="1" s="1"/>
  <c r="AG143" i="5"/>
  <c r="AH34" i="1" s="1"/>
  <c r="AG137" i="5"/>
  <c r="AH32" i="1" s="1"/>
  <c r="AG134" i="5"/>
  <c r="AH31" i="1" s="1"/>
  <c r="AG130" i="5"/>
  <c r="AH30" i="1" s="1"/>
  <c r="AG126" i="5"/>
  <c r="AH29" i="1" s="1"/>
  <c r="AG123" i="5"/>
  <c r="AH28" i="1" s="1"/>
  <c r="AG117" i="5"/>
  <c r="AH27" i="1" s="1"/>
  <c r="AG110" i="5"/>
  <c r="AH26" i="1" s="1"/>
  <c r="AG106" i="5"/>
  <c r="AH25" i="1" s="1"/>
  <c r="AG101" i="5"/>
  <c r="AH24" i="1" s="1"/>
  <c r="AG97" i="5"/>
  <c r="AH23" i="1" s="1"/>
  <c r="AG93" i="5"/>
  <c r="AH22" i="1" s="1"/>
  <c r="AG86" i="5"/>
  <c r="AH21" i="1" s="1"/>
  <c r="AG82" i="5"/>
  <c r="AH20" i="1" s="1"/>
  <c r="AG75" i="5"/>
  <c r="AH17" i="1" s="1"/>
  <c r="AG26" i="5"/>
  <c r="AH10" i="1" s="1"/>
  <c r="AG25" i="5"/>
  <c r="AG18" i="5"/>
  <c r="AH8" i="1" s="1"/>
  <c r="AG14" i="5"/>
  <c r="AH7" i="1" s="1"/>
  <c r="AG11" i="5"/>
  <c r="AH6" i="1" s="1"/>
  <c r="AG4" i="5"/>
  <c r="AH3" i="1" s="1"/>
  <c r="AF204" i="5"/>
  <c r="AD204" i="5"/>
  <c r="AB204" i="5"/>
  <c r="Z204" i="5"/>
  <c r="X204" i="5"/>
  <c r="V204" i="5"/>
  <c r="T204" i="5"/>
  <c r="R204" i="5"/>
  <c r="P204" i="5"/>
  <c r="N204" i="5"/>
  <c r="L204" i="5"/>
  <c r="J204" i="5"/>
  <c r="AF203" i="5"/>
  <c r="AD203" i="5"/>
  <c r="AB203" i="5"/>
  <c r="Z203" i="5"/>
  <c r="X203" i="5"/>
  <c r="V203" i="5"/>
  <c r="T203" i="5"/>
  <c r="R203" i="5"/>
  <c r="P203" i="5"/>
  <c r="N203" i="5"/>
  <c r="L203" i="5"/>
  <c r="J203" i="5"/>
  <c r="AF202" i="5"/>
  <c r="AD202" i="5"/>
  <c r="AB202" i="5"/>
  <c r="Z202" i="5"/>
  <c r="X202" i="5"/>
  <c r="V202" i="5"/>
  <c r="T202" i="5"/>
  <c r="R202" i="5"/>
  <c r="P202" i="5"/>
  <c r="N202" i="5"/>
  <c r="L202" i="5"/>
  <c r="J202" i="5"/>
  <c r="AF201" i="5"/>
  <c r="AD201" i="5"/>
  <c r="AB201" i="5"/>
  <c r="Z201" i="5"/>
  <c r="X201" i="5"/>
  <c r="V201" i="5"/>
  <c r="T201" i="5"/>
  <c r="R201" i="5"/>
  <c r="P201" i="5"/>
  <c r="N201" i="5"/>
  <c r="L201" i="5"/>
  <c r="J201" i="5"/>
  <c r="AF200" i="5"/>
  <c r="AD200" i="5"/>
  <c r="AB200" i="5"/>
  <c r="Z200" i="5"/>
  <c r="X200" i="5"/>
  <c r="V200" i="5"/>
  <c r="T200" i="5"/>
  <c r="R200" i="5"/>
  <c r="P200" i="5"/>
  <c r="N200" i="5"/>
  <c r="J200" i="5"/>
  <c r="AF199" i="5"/>
  <c r="AD199" i="5"/>
  <c r="AB199" i="5"/>
  <c r="Z199" i="5"/>
  <c r="X199" i="5"/>
  <c r="V199" i="5"/>
  <c r="T199" i="5"/>
  <c r="R199" i="5"/>
  <c r="P199" i="5"/>
  <c r="N199" i="5"/>
  <c r="L199" i="5"/>
  <c r="J199" i="5"/>
  <c r="AF198" i="5"/>
  <c r="AD198" i="5"/>
  <c r="AB198" i="5"/>
  <c r="Z198" i="5"/>
  <c r="X198" i="5"/>
  <c r="V198" i="5"/>
  <c r="T198" i="5"/>
  <c r="R198" i="5"/>
  <c r="P198" i="5"/>
  <c r="N198" i="5"/>
  <c r="L198" i="5"/>
  <c r="J198" i="5"/>
  <c r="AF197" i="5"/>
  <c r="AD197" i="5"/>
  <c r="AB197" i="5"/>
  <c r="Z197" i="5"/>
  <c r="X197" i="5"/>
  <c r="V197" i="5"/>
  <c r="T197" i="5"/>
  <c r="R197" i="5"/>
  <c r="P197" i="5"/>
  <c r="N197" i="5"/>
  <c r="L197" i="5"/>
  <c r="J197" i="5"/>
  <c r="AF196" i="5"/>
  <c r="AD196" i="5"/>
  <c r="AB196" i="5"/>
  <c r="Z196" i="5"/>
  <c r="X196" i="5"/>
  <c r="V196" i="5"/>
  <c r="T196" i="5"/>
  <c r="R196" i="5"/>
  <c r="P196" i="5"/>
  <c r="N196" i="5"/>
  <c r="L196" i="5"/>
  <c r="J196" i="5"/>
  <c r="AF195" i="5"/>
  <c r="AD195" i="5"/>
  <c r="AB195" i="5"/>
  <c r="Z195" i="5"/>
  <c r="X195" i="5"/>
  <c r="V195" i="5"/>
  <c r="T195" i="5"/>
  <c r="R195" i="5"/>
  <c r="P195" i="5"/>
  <c r="N195" i="5"/>
  <c r="L195" i="5"/>
  <c r="J195" i="5"/>
  <c r="AF194" i="5"/>
  <c r="AD194" i="5"/>
  <c r="AB194" i="5"/>
  <c r="Z194" i="5"/>
  <c r="X194" i="5"/>
  <c r="V194" i="5"/>
  <c r="T194" i="5"/>
  <c r="R194" i="5"/>
  <c r="P194" i="5"/>
  <c r="N194" i="5"/>
  <c r="L194" i="5"/>
  <c r="J194" i="5"/>
  <c r="AF193" i="5"/>
  <c r="AD193" i="5"/>
  <c r="AB193" i="5"/>
  <c r="Z193" i="5"/>
  <c r="X193" i="5"/>
  <c r="V193" i="5"/>
  <c r="T193" i="5"/>
  <c r="R193" i="5"/>
  <c r="P193" i="5"/>
  <c r="N193" i="5"/>
  <c r="L193" i="5"/>
  <c r="AF192" i="5"/>
  <c r="AD192" i="5"/>
  <c r="AB192" i="5"/>
  <c r="Z192" i="5"/>
  <c r="X192" i="5"/>
  <c r="V192" i="5"/>
  <c r="T192" i="5"/>
  <c r="R192" i="5"/>
  <c r="P192" i="5"/>
  <c r="N192" i="5"/>
  <c r="L192" i="5"/>
  <c r="J192" i="5"/>
  <c r="AF191" i="5"/>
  <c r="AD191" i="5"/>
  <c r="AB191" i="5"/>
  <c r="Z191" i="5"/>
  <c r="X191" i="5"/>
  <c r="V191" i="5"/>
  <c r="T191" i="5"/>
  <c r="R191" i="5"/>
  <c r="P191" i="5"/>
  <c r="N191" i="5"/>
  <c r="L191" i="5"/>
  <c r="AF190" i="5"/>
  <c r="AD190" i="5"/>
  <c r="AB190" i="5"/>
  <c r="Z190" i="5"/>
  <c r="X190" i="5"/>
  <c r="V190" i="5"/>
  <c r="T190" i="5"/>
  <c r="R190" i="5"/>
  <c r="P190" i="5"/>
  <c r="N190" i="5"/>
  <c r="L190" i="5"/>
  <c r="J190" i="5"/>
  <c r="AF189" i="5"/>
  <c r="AD189" i="5"/>
  <c r="AB189" i="5"/>
  <c r="Z189" i="5"/>
  <c r="X189" i="5"/>
  <c r="V189" i="5"/>
  <c r="T189" i="5"/>
  <c r="R189" i="5"/>
  <c r="P189" i="5"/>
  <c r="N189" i="5"/>
  <c r="L189" i="5"/>
  <c r="J189" i="5"/>
  <c r="AF188" i="5"/>
  <c r="AD188" i="5"/>
  <c r="AB188" i="5"/>
  <c r="Z188" i="5"/>
  <c r="X188" i="5"/>
  <c r="V188" i="5"/>
  <c r="T188" i="5"/>
  <c r="R188" i="5"/>
  <c r="P188" i="5"/>
  <c r="N188" i="5"/>
  <c r="L188" i="5"/>
  <c r="J188" i="5"/>
  <c r="AF187" i="5"/>
  <c r="AD187" i="5"/>
  <c r="AB187" i="5"/>
  <c r="Z187" i="5"/>
  <c r="X187" i="5"/>
  <c r="V187" i="5"/>
  <c r="T187" i="5"/>
  <c r="R187" i="5"/>
  <c r="P187" i="5"/>
  <c r="N187" i="5"/>
  <c r="L187" i="5"/>
  <c r="J187" i="5"/>
  <c r="AF186" i="5"/>
  <c r="AD186" i="5"/>
  <c r="AB186" i="5"/>
  <c r="Z186" i="5"/>
  <c r="X186" i="5"/>
  <c r="V186" i="5"/>
  <c r="T186" i="5"/>
  <c r="R186" i="5"/>
  <c r="N186" i="5"/>
  <c r="L186" i="5"/>
  <c r="J186" i="5"/>
  <c r="AF185" i="5"/>
  <c r="AD185" i="5"/>
  <c r="AB185" i="5"/>
  <c r="Z185" i="5"/>
  <c r="X185" i="5"/>
  <c r="V185" i="5"/>
  <c r="T185" i="5"/>
  <c r="R185" i="5"/>
  <c r="P185" i="5"/>
  <c r="N185" i="5"/>
  <c r="L185" i="5"/>
  <c r="J185" i="5"/>
  <c r="AF184" i="5"/>
  <c r="AD184" i="5"/>
  <c r="AB184" i="5"/>
  <c r="Z184" i="5"/>
  <c r="X184" i="5"/>
  <c r="V184" i="5"/>
  <c r="T184" i="5"/>
  <c r="R184" i="5"/>
  <c r="P184" i="5"/>
  <c r="N184" i="5"/>
  <c r="L184" i="5"/>
  <c r="J184" i="5"/>
  <c r="AF183" i="5"/>
  <c r="AD183" i="5"/>
  <c r="AB183" i="5"/>
  <c r="Z183" i="5"/>
  <c r="X183" i="5"/>
  <c r="V183" i="5"/>
  <c r="T183" i="5"/>
  <c r="R183" i="5"/>
  <c r="P183" i="5"/>
  <c r="N183" i="5"/>
  <c r="L183" i="5"/>
  <c r="J183" i="5"/>
  <c r="AF180" i="5"/>
  <c r="AD180" i="5"/>
  <c r="AB180" i="5"/>
  <c r="Z180" i="5"/>
  <c r="X180" i="5"/>
  <c r="V180" i="5"/>
  <c r="T180" i="5"/>
  <c r="R180" i="5"/>
  <c r="P180" i="5"/>
  <c r="N180" i="5"/>
  <c r="L180" i="5"/>
  <c r="J180" i="5"/>
  <c r="AF179" i="5"/>
  <c r="AD179" i="5"/>
  <c r="AB179" i="5"/>
  <c r="Z179" i="5"/>
  <c r="X179" i="5"/>
  <c r="V179" i="5"/>
  <c r="T179" i="5"/>
  <c r="R179" i="5"/>
  <c r="P179" i="5"/>
  <c r="N179" i="5"/>
  <c r="L179" i="5"/>
  <c r="J179" i="5"/>
  <c r="AF178" i="5"/>
  <c r="AD178" i="5"/>
  <c r="AB178" i="5"/>
  <c r="Z178" i="5"/>
  <c r="X178" i="5"/>
  <c r="V178" i="5"/>
  <c r="T178" i="5"/>
  <c r="R178" i="5"/>
  <c r="P178" i="5"/>
  <c r="N178" i="5"/>
  <c r="L178" i="5"/>
  <c r="J178" i="5"/>
  <c r="AF177" i="5"/>
  <c r="AD177" i="5"/>
  <c r="AB177" i="5"/>
  <c r="Z177" i="5"/>
  <c r="X177" i="5"/>
  <c r="V177" i="5"/>
  <c r="T177" i="5"/>
  <c r="R177" i="5"/>
  <c r="P177" i="5"/>
  <c r="N177" i="5"/>
  <c r="L177" i="5"/>
  <c r="AF176" i="5"/>
  <c r="AD176" i="5"/>
  <c r="AB176" i="5"/>
  <c r="Z176" i="5"/>
  <c r="X176" i="5"/>
  <c r="V176" i="5"/>
  <c r="T176" i="5"/>
  <c r="R176" i="5"/>
  <c r="P176" i="5"/>
  <c r="N176" i="5"/>
  <c r="L176" i="5"/>
  <c r="J176" i="5"/>
  <c r="AF175" i="5"/>
  <c r="AD175" i="5"/>
  <c r="AB175" i="5"/>
  <c r="Z175" i="5"/>
  <c r="X175" i="5"/>
  <c r="V175" i="5"/>
  <c r="T175" i="5"/>
  <c r="R175" i="5"/>
  <c r="P175" i="5"/>
  <c r="N175" i="5"/>
  <c r="L175" i="5"/>
  <c r="J175" i="5"/>
  <c r="AF174" i="5"/>
  <c r="AD174" i="5"/>
  <c r="AB174" i="5"/>
  <c r="Z174" i="5"/>
  <c r="X174" i="5"/>
  <c r="V174" i="5"/>
  <c r="T174" i="5"/>
  <c r="R174" i="5"/>
  <c r="P174" i="5"/>
  <c r="N174" i="5"/>
  <c r="L174" i="5"/>
  <c r="J174" i="5"/>
  <c r="AF171" i="5"/>
  <c r="AD171" i="5"/>
  <c r="AB171" i="5"/>
  <c r="Z171" i="5"/>
  <c r="X171" i="5"/>
  <c r="V171" i="5"/>
  <c r="T171" i="5"/>
  <c r="R171" i="5"/>
  <c r="P171" i="5"/>
  <c r="N171" i="5"/>
  <c r="L171" i="5"/>
  <c r="J171" i="5"/>
  <c r="AF170" i="5"/>
  <c r="AD170" i="5"/>
  <c r="AB170" i="5"/>
  <c r="Z170" i="5"/>
  <c r="X170" i="5"/>
  <c r="V170" i="5"/>
  <c r="T170" i="5"/>
  <c r="R170" i="5"/>
  <c r="P170" i="5"/>
  <c r="N170" i="5"/>
  <c r="L170" i="5"/>
  <c r="J170" i="5"/>
  <c r="AF169" i="5"/>
  <c r="AD169" i="5"/>
  <c r="AB169" i="5"/>
  <c r="Z169" i="5"/>
  <c r="X169" i="5"/>
  <c r="V169" i="5"/>
  <c r="T169" i="5"/>
  <c r="R169" i="5"/>
  <c r="P169" i="5"/>
  <c r="N169" i="5"/>
  <c r="L169" i="5"/>
  <c r="J169" i="5"/>
  <c r="AF163" i="5"/>
  <c r="AD163" i="5"/>
  <c r="AB163" i="5"/>
  <c r="Z163" i="5"/>
  <c r="X163" i="5"/>
  <c r="V163" i="5"/>
  <c r="T163" i="5"/>
  <c r="R163" i="5"/>
  <c r="P163" i="5"/>
  <c r="N163" i="5"/>
  <c r="L163" i="5"/>
  <c r="J163" i="5"/>
  <c r="AF162" i="5"/>
  <c r="AD162" i="5"/>
  <c r="AB162" i="5"/>
  <c r="Z162" i="5"/>
  <c r="X162" i="5"/>
  <c r="V162" i="5"/>
  <c r="T162" i="5"/>
  <c r="R162" i="5"/>
  <c r="P162" i="5"/>
  <c r="N162" i="5"/>
  <c r="L162" i="5"/>
  <c r="J162" i="5"/>
  <c r="AF161" i="5"/>
  <c r="AD161" i="5"/>
  <c r="AB161" i="5"/>
  <c r="Z161" i="5"/>
  <c r="X161" i="5"/>
  <c r="V161" i="5"/>
  <c r="T161" i="5"/>
  <c r="R161" i="5"/>
  <c r="P161" i="5"/>
  <c r="N161" i="5"/>
  <c r="L161" i="5"/>
  <c r="J161" i="5"/>
  <c r="AF159" i="5"/>
  <c r="AD159" i="5"/>
  <c r="AB159" i="5"/>
  <c r="Z159" i="5"/>
  <c r="X159" i="5"/>
  <c r="V159" i="5"/>
  <c r="T159" i="5"/>
  <c r="R159" i="5"/>
  <c r="P159" i="5"/>
  <c r="N159" i="5"/>
  <c r="L159" i="5"/>
  <c r="J159" i="5"/>
  <c r="AF158" i="5"/>
  <c r="AD158" i="5"/>
  <c r="AB158" i="5"/>
  <c r="Z158" i="5"/>
  <c r="X158" i="5"/>
  <c r="V158" i="5"/>
  <c r="T158" i="5"/>
  <c r="R158" i="5"/>
  <c r="P158" i="5"/>
  <c r="N158" i="5"/>
  <c r="L158" i="5"/>
  <c r="AF156" i="5"/>
  <c r="AD156" i="5"/>
  <c r="AB156" i="5"/>
  <c r="Z156" i="5"/>
  <c r="X156" i="5"/>
  <c r="V156" i="5"/>
  <c r="T156" i="5"/>
  <c r="R156" i="5"/>
  <c r="P156" i="5"/>
  <c r="N156" i="5"/>
  <c r="L156" i="5"/>
  <c r="J156" i="5"/>
  <c r="AF155" i="5"/>
  <c r="AD155" i="5"/>
  <c r="AB155" i="5"/>
  <c r="Z155" i="5"/>
  <c r="X155" i="5"/>
  <c r="V155" i="5"/>
  <c r="T155" i="5"/>
  <c r="R155" i="5"/>
  <c r="P155" i="5"/>
  <c r="N155" i="5"/>
  <c r="L155" i="5"/>
  <c r="J155" i="5"/>
  <c r="AF154" i="5"/>
  <c r="AD154" i="5"/>
  <c r="AB154" i="5"/>
  <c r="Z154" i="5"/>
  <c r="X154" i="5"/>
  <c r="V154" i="5"/>
  <c r="T154" i="5"/>
  <c r="R154" i="5"/>
  <c r="P154" i="5"/>
  <c r="N154" i="5"/>
  <c r="L154" i="5"/>
  <c r="J154" i="5"/>
  <c r="AF153" i="5"/>
  <c r="AD153" i="5"/>
  <c r="AB153" i="5"/>
  <c r="Z153" i="5"/>
  <c r="X153" i="5"/>
  <c r="V153" i="5"/>
  <c r="T153" i="5"/>
  <c r="R153" i="5"/>
  <c r="P153" i="5"/>
  <c r="N153" i="5"/>
  <c r="L153" i="5"/>
  <c r="J153" i="5"/>
  <c r="AF152" i="5"/>
  <c r="AD152" i="5"/>
  <c r="AB152" i="5"/>
  <c r="Z152" i="5"/>
  <c r="X152" i="5"/>
  <c r="V152" i="5"/>
  <c r="T152" i="5"/>
  <c r="R152" i="5"/>
  <c r="P152" i="5"/>
  <c r="AF151" i="5"/>
  <c r="AD151" i="5"/>
  <c r="AB151" i="5"/>
  <c r="Z151" i="5"/>
  <c r="X151" i="5"/>
  <c r="V151" i="5"/>
  <c r="T151" i="5"/>
  <c r="R151" i="5"/>
  <c r="P151" i="5"/>
  <c r="N151" i="5"/>
  <c r="L151" i="5"/>
  <c r="J151" i="5"/>
  <c r="AF150" i="5"/>
  <c r="AD150" i="5"/>
  <c r="AB150" i="5"/>
  <c r="Z150" i="5"/>
  <c r="X150" i="5"/>
  <c r="V150" i="5"/>
  <c r="T150" i="5"/>
  <c r="R150" i="5"/>
  <c r="P150" i="5"/>
  <c r="N150" i="5"/>
  <c r="L150" i="5"/>
  <c r="AF145" i="5"/>
  <c r="AD145" i="5"/>
  <c r="AB145" i="5"/>
  <c r="Z145" i="5"/>
  <c r="X145" i="5"/>
  <c r="V145" i="5"/>
  <c r="T145" i="5"/>
  <c r="R145" i="5"/>
  <c r="P145" i="5"/>
  <c r="N145" i="5"/>
  <c r="L145" i="5"/>
  <c r="J145" i="5"/>
  <c r="AF144" i="5"/>
  <c r="AD144" i="5"/>
  <c r="AB144" i="5"/>
  <c r="Z144" i="5"/>
  <c r="X144" i="5"/>
  <c r="V144" i="5"/>
  <c r="T144" i="5"/>
  <c r="R144" i="5"/>
  <c r="P144" i="5"/>
  <c r="N144" i="5"/>
  <c r="L144" i="5"/>
  <c r="J144" i="5"/>
  <c r="AF142" i="5"/>
  <c r="AD142" i="5"/>
  <c r="AB142" i="5"/>
  <c r="Z142" i="5"/>
  <c r="X142" i="5"/>
  <c r="V142" i="5"/>
  <c r="T142" i="5"/>
  <c r="R142" i="5"/>
  <c r="P142" i="5"/>
  <c r="N142" i="5"/>
  <c r="J142" i="5"/>
  <c r="AF141" i="5"/>
  <c r="AD141" i="5"/>
  <c r="AB141" i="5"/>
  <c r="Z141" i="5"/>
  <c r="X141" i="5"/>
  <c r="V141" i="5"/>
  <c r="T141" i="5"/>
  <c r="R141" i="5"/>
  <c r="P141" i="5"/>
  <c r="N141" i="5"/>
  <c r="J141" i="5"/>
  <c r="AF138" i="5"/>
  <c r="AD138" i="5"/>
  <c r="AB138" i="5"/>
  <c r="Z138" i="5"/>
  <c r="X138" i="5"/>
  <c r="V138" i="5"/>
  <c r="T138" i="5"/>
  <c r="R138" i="5"/>
  <c r="P138" i="5"/>
  <c r="N138" i="5"/>
  <c r="L138" i="5"/>
  <c r="J138" i="5"/>
  <c r="AF136" i="5"/>
  <c r="AD136" i="5"/>
  <c r="AB136" i="5"/>
  <c r="Z136" i="5"/>
  <c r="X136" i="5"/>
  <c r="V136" i="5"/>
  <c r="T136" i="5"/>
  <c r="R136" i="5"/>
  <c r="P136" i="5"/>
  <c r="N136" i="5"/>
  <c r="L136" i="5"/>
  <c r="J136" i="5"/>
  <c r="AF135" i="5"/>
  <c r="AD135" i="5"/>
  <c r="AB135" i="5"/>
  <c r="Z135" i="5"/>
  <c r="X135" i="5"/>
  <c r="V135" i="5"/>
  <c r="T135" i="5"/>
  <c r="R135" i="5"/>
  <c r="P135" i="5"/>
  <c r="N135" i="5"/>
  <c r="L135" i="5"/>
  <c r="J135" i="5"/>
  <c r="AF133" i="5"/>
  <c r="AD133" i="5"/>
  <c r="AB133" i="5"/>
  <c r="Z133" i="5"/>
  <c r="X133" i="5"/>
  <c r="V133" i="5"/>
  <c r="T133" i="5"/>
  <c r="R133" i="5"/>
  <c r="P133" i="5"/>
  <c r="N133" i="5"/>
  <c r="L133" i="5"/>
  <c r="J133" i="5"/>
  <c r="AF132" i="5"/>
  <c r="AD132" i="5"/>
  <c r="AB132" i="5"/>
  <c r="Z132" i="5"/>
  <c r="X132" i="5"/>
  <c r="V132" i="5"/>
  <c r="T132" i="5"/>
  <c r="R132" i="5"/>
  <c r="P132" i="5"/>
  <c r="N132" i="5"/>
  <c r="L132" i="5"/>
  <c r="J132" i="5"/>
  <c r="AF131" i="5"/>
  <c r="AD131" i="5"/>
  <c r="AB131" i="5"/>
  <c r="Z131" i="5"/>
  <c r="X131" i="5"/>
  <c r="V131" i="5"/>
  <c r="T131" i="5"/>
  <c r="R131" i="5"/>
  <c r="P131" i="5"/>
  <c r="N131" i="5"/>
  <c r="L131" i="5"/>
  <c r="AF129" i="5"/>
  <c r="AD129" i="5"/>
  <c r="AB129" i="5"/>
  <c r="Z129" i="5"/>
  <c r="X129" i="5"/>
  <c r="V129" i="5"/>
  <c r="T129" i="5"/>
  <c r="R129" i="5"/>
  <c r="P129" i="5"/>
  <c r="N129" i="5"/>
  <c r="L129" i="5"/>
  <c r="J129" i="5"/>
  <c r="AF128" i="5"/>
  <c r="AD128" i="5"/>
  <c r="AB128" i="5"/>
  <c r="Z128" i="5"/>
  <c r="X128" i="5"/>
  <c r="V128" i="5"/>
  <c r="T128" i="5"/>
  <c r="R128" i="5"/>
  <c r="P128" i="5"/>
  <c r="N128" i="5"/>
  <c r="L128" i="5"/>
  <c r="J128" i="5"/>
  <c r="AF127" i="5"/>
  <c r="AD127" i="5"/>
  <c r="AB127" i="5"/>
  <c r="Z127" i="5"/>
  <c r="X127" i="5"/>
  <c r="V127" i="5"/>
  <c r="T127" i="5"/>
  <c r="R127" i="5"/>
  <c r="P127" i="5"/>
  <c r="N127" i="5"/>
  <c r="L127" i="5"/>
  <c r="J127" i="5"/>
  <c r="AF125" i="5"/>
  <c r="AD125" i="5"/>
  <c r="AB125" i="5"/>
  <c r="Z125" i="5"/>
  <c r="X125" i="5"/>
  <c r="V125" i="5"/>
  <c r="T125" i="5"/>
  <c r="R125" i="5"/>
  <c r="P125" i="5"/>
  <c r="N125" i="5"/>
  <c r="L125" i="5"/>
  <c r="J125" i="5"/>
  <c r="AF124" i="5"/>
  <c r="AD124" i="5"/>
  <c r="AB124" i="5"/>
  <c r="Z124" i="5"/>
  <c r="X124" i="5"/>
  <c r="V124" i="5"/>
  <c r="T124" i="5"/>
  <c r="R124" i="5"/>
  <c r="P124" i="5"/>
  <c r="N124" i="5"/>
  <c r="L124" i="5"/>
  <c r="AG122" i="5"/>
  <c r="AF121" i="5"/>
  <c r="AD121" i="5"/>
  <c r="AB121" i="5"/>
  <c r="Z121" i="5"/>
  <c r="X121" i="5"/>
  <c r="V121" i="5"/>
  <c r="T121" i="5"/>
  <c r="R121" i="5"/>
  <c r="P121" i="5"/>
  <c r="N121" i="5"/>
  <c r="L121" i="5"/>
  <c r="J121" i="5"/>
  <c r="AF120" i="5"/>
  <c r="AD120" i="5"/>
  <c r="AB120" i="5"/>
  <c r="Z120" i="5"/>
  <c r="X120" i="5"/>
  <c r="V120" i="5"/>
  <c r="T120" i="5"/>
  <c r="R120" i="5"/>
  <c r="P120" i="5"/>
  <c r="N120" i="5"/>
  <c r="L120" i="5"/>
  <c r="J120" i="5"/>
  <c r="AF119" i="5"/>
  <c r="AD119" i="5"/>
  <c r="AB119" i="5"/>
  <c r="Z119" i="5"/>
  <c r="X119" i="5"/>
  <c r="V119" i="5"/>
  <c r="T119" i="5"/>
  <c r="R119" i="5"/>
  <c r="N119" i="5"/>
  <c r="L119" i="5"/>
  <c r="J119" i="5"/>
  <c r="AF118" i="5"/>
  <c r="AD118" i="5"/>
  <c r="AB118" i="5"/>
  <c r="Z118" i="5"/>
  <c r="X118" i="5"/>
  <c r="V118" i="5"/>
  <c r="T118" i="5"/>
  <c r="R118" i="5"/>
  <c r="P118" i="5"/>
  <c r="N118" i="5"/>
  <c r="L118" i="5"/>
  <c r="J118" i="5"/>
  <c r="AF116" i="5"/>
  <c r="AD116" i="5"/>
  <c r="AB116" i="5"/>
  <c r="Z116" i="5"/>
  <c r="X116" i="5"/>
  <c r="V116" i="5"/>
  <c r="T116" i="5"/>
  <c r="R116" i="5"/>
  <c r="P116" i="5"/>
  <c r="N116" i="5"/>
  <c r="L116" i="5"/>
  <c r="J116" i="5"/>
  <c r="AF115" i="5"/>
  <c r="AD115" i="5"/>
  <c r="AB115" i="5"/>
  <c r="Z115" i="5"/>
  <c r="X115" i="5"/>
  <c r="V115" i="5"/>
  <c r="T115" i="5"/>
  <c r="R115" i="5"/>
  <c r="P115" i="5"/>
  <c r="N115" i="5"/>
  <c r="L115" i="5"/>
  <c r="J115" i="5"/>
  <c r="AF114" i="5"/>
  <c r="AD114" i="5"/>
  <c r="AB114" i="5"/>
  <c r="Z114" i="5"/>
  <c r="X114" i="5"/>
  <c r="V114" i="5"/>
  <c r="T114" i="5"/>
  <c r="R114" i="5"/>
  <c r="P114" i="5"/>
  <c r="N114" i="5"/>
  <c r="L114" i="5"/>
  <c r="J114" i="5"/>
  <c r="AF113" i="5"/>
  <c r="AD113" i="5"/>
  <c r="AB113" i="5"/>
  <c r="Z113" i="5"/>
  <c r="X113" i="5"/>
  <c r="V113" i="5"/>
  <c r="T113" i="5"/>
  <c r="R113" i="5"/>
  <c r="P113" i="5"/>
  <c r="N113" i="5"/>
  <c r="L113" i="5"/>
  <c r="J113" i="5"/>
  <c r="AF112" i="5"/>
  <c r="AD112" i="5"/>
  <c r="AB112" i="5"/>
  <c r="Z112" i="5"/>
  <c r="X112" i="5"/>
  <c r="V112" i="5"/>
  <c r="T112" i="5"/>
  <c r="R112" i="5"/>
  <c r="P112" i="5"/>
  <c r="N112" i="5"/>
  <c r="L112" i="5"/>
  <c r="J112" i="5"/>
  <c r="AF111" i="5"/>
  <c r="AD111" i="5"/>
  <c r="AB111" i="5"/>
  <c r="Z111" i="5"/>
  <c r="X111" i="5"/>
  <c r="V111" i="5"/>
  <c r="T111" i="5"/>
  <c r="R111" i="5"/>
  <c r="P111" i="5"/>
  <c r="N111" i="5"/>
  <c r="L111" i="5"/>
  <c r="J111" i="5"/>
  <c r="AF109" i="5"/>
  <c r="AD109" i="5"/>
  <c r="AB109" i="5"/>
  <c r="Z109" i="5"/>
  <c r="X109" i="5"/>
  <c r="V109" i="5"/>
  <c r="T109" i="5"/>
  <c r="R109" i="5"/>
  <c r="P109" i="5"/>
  <c r="N109" i="5"/>
  <c r="L109" i="5"/>
  <c r="J109" i="5"/>
  <c r="AF108" i="5"/>
  <c r="AD108" i="5"/>
  <c r="AB108" i="5"/>
  <c r="Z108" i="5"/>
  <c r="X108" i="5"/>
  <c r="V108" i="5"/>
  <c r="T108" i="5"/>
  <c r="R108" i="5"/>
  <c r="P108" i="5"/>
  <c r="N108" i="5"/>
  <c r="L108" i="5"/>
  <c r="J108" i="5"/>
  <c r="AF107" i="5"/>
  <c r="AD107" i="5"/>
  <c r="AB107" i="5"/>
  <c r="Z107" i="5"/>
  <c r="X107" i="5"/>
  <c r="V107" i="5"/>
  <c r="T107" i="5"/>
  <c r="R107" i="5"/>
  <c r="P107" i="5"/>
  <c r="N107" i="5"/>
  <c r="L107" i="5"/>
  <c r="J107" i="5"/>
  <c r="AF105" i="5"/>
  <c r="AD105" i="5"/>
  <c r="AB105" i="5"/>
  <c r="Z105" i="5"/>
  <c r="X105" i="5"/>
  <c r="V105" i="5"/>
  <c r="T105" i="5"/>
  <c r="R105" i="5"/>
  <c r="P105" i="5"/>
  <c r="N105" i="5"/>
  <c r="L105" i="5"/>
  <c r="J105" i="5"/>
  <c r="AF104" i="5"/>
  <c r="AD104" i="5"/>
  <c r="AB104" i="5"/>
  <c r="Z104" i="5"/>
  <c r="X104" i="5"/>
  <c r="V104" i="5"/>
  <c r="T104" i="5"/>
  <c r="R104" i="5"/>
  <c r="P104" i="5"/>
  <c r="N104" i="5"/>
  <c r="L104" i="5"/>
  <c r="J104" i="5"/>
  <c r="AF103" i="5"/>
  <c r="AD103" i="5"/>
  <c r="AB103" i="5"/>
  <c r="Z103" i="5"/>
  <c r="X103" i="5"/>
  <c r="V103" i="5"/>
  <c r="T103" i="5"/>
  <c r="R103" i="5"/>
  <c r="P103" i="5"/>
  <c r="N103" i="5"/>
  <c r="L103" i="5"/>
  <c r="AF102" i="5"/>
  <c r="AD102" i="5"/>
  <c r="AB102" i="5"/>
  <c r="Z102" i="5"/>
  <c r="X102" i="5"/>
  <c r="V102" i="5"/>
  <c r="T102" i="5"/>
  <c r="R102" i="5"/>
  <c r="P102" i="5"/>
  <c r="N102" i="5"/>
  <c r="L102" i="5"/>
  <c r="J102" i="5"/>
  <c r="AF100" i="5"/>
  <c r="AD100" i="5"/>
  <c r="AB100" i="5"/>
  <c r="Z100" i="5"/>
  <c r="X100" i="5"/>
  <c r="V100" i="5"/>
  <c r="T100" i="5"/>
  <c r="R100" i="5"/>
  <c r="P100" i="5"/>
  <c r="N100" i="5"/>
  <c r="L100" i="5"/>
  <c r="J100" i="5"/>
  <c r="AF99" i="5"/>
  <c r="AD99" i="5"/>
  <c r="AB99" i="5"/>
  <c r="Z99" i="5"/>
  <c r="X99" i="5"/>
  <c r="V99" i="5"/>
  <c r="T99" i="5"/>
  <c r="R99" i="5"/>
  <c r="P99" i="5"/>
  <c r="N99" i="5"/>
  <c r="L99" i="5"/>
  <c r="J99" i="5"/>
  <c r="AF98" i="5"/>
  <c r="AD98" i="5"/>
  <c r="AB98" i="5"/>
  <c r="Z98" i="5"/>
  <c r="X98" i="5"/>
  <c r="V98" i="5"/>
  <c r="T98" i="5"/>
  <c r="R98" i="5"/>
  <c r="P98" i="5"/>
  <c r="N98" i="5"/>
  <c r="J98" i="5"/>
  <c r="AF96" i="5"/>
  <c r="AD96" i="5"/>
  <c r="AB96" i="5"/>
  <c r="Z96" i="5"/>
  <c r="X96" i="5"/>
  <c r="V96" i="5"/>
  <c r="T96" i="5"/>
  <c r="R96" i="5"/>
  <c r="P96" i="5"/>
  <c r="N96" i="5"/>
  <c r="L96" i="5"/>
  <c r="J96" i="5"/>
  <c r="AF95" i="5"/>
  <c r="AD95" i="5"/>
  <c r="AB95" i="5"/>
  <c r="Z95" i="5"/>
  <c r="X95" i="5"/>
  <c r="V95" i="5"/>
  <c r="T95" i="5"/>
  <c r="R95" i="5"/>
  <c r="P95" i="5"/>
  <c r="N95" i="5"/>
  <c r="L95" i="5"/>
  <c r="J95" i="5"/>
  <c r="AF94" i="5"/>
  <c r="AD94" i="5"/>
  <c r="AB94" i="5"/>
  <c r="Z94" i="5"/>
  <c r="X94" i="5"/>
  <c r="V94" i="5"/>
  <c r="T94" i="5"/>
  <c r="R94" i="5"/>
  <c r="P94" i="5"/>
  <c r="N94" i="5"/>
  <c r="L94" i="5"/>
  <c r="J94" i="5"/>
  <c r="AF92" i="5"/>
  <c r="AD92" i="5"/>
  <c r="AB92" i="5"/>
  <c r="Z92" i="5"/>
  <c r="X92" i="5"/>
  <c r="V92" i="5"/>
  <c r="T92" i="5"/>
  <c r="R92" i="5"/>
  <c r="P92" i="5"/>
  <c r="N92" i="5"/>
  <c r="L92" i="5"/>
  <c r="J92" i="5"/>
  <c r="AF91" i="5"/>
  <c r="AD91" i="5"/>
  <c r="AB91" i="5"/>
  <c r="Z91" i="5"/>
  <c r="X91" i="5"/>
  <c r="V91" i="5"/>
  <c r="T91" i="5"/>
  <c r="R91" i="5"/>
  <c r="P91" i="5"/>
  <c r="N91" i="5"/>
  <c r="L91" i="5"/>
  <c r="J91" i="5"/>
  <c r="AF90" i="5"/>
  <c r="AD90" i="5"/>
  <c r="AB90" i="5"/>
  <c r="Z90" i="5"/>
  <c r="X90" i="5"/>
  <c r="V90" i="5"/>
  <c r="T90" i="5"/>
  <c r="R90" i="5"/>
  <c r="P90" i="5"/>
  <c r="N90" i="5"/>
  <c r="L90" i="5"/>
  <c r="J90" i="5"/>
  <c r="AF89" i="5"/>
  <c r="AD89" i="5"/>
  <c r="AB89" i="5"/>
  <c r="Z89" i="5"/>
  <c r="X89" i="5"/>
  <c r="V89" i="5"/>
  <c r="T89" i="5"/>
  <c r="R89" i="5"/>
  <c r="P89" i="5"/>
  <c r="N89" i="5"/>
  <c r="L89" i="5"/>
  <c r="J89" i="5"/>
  <c r="AF88" i="5"/>
  <c r="AD88" i="5"/>
  <c r="AB88" i="5"/>
  <c r="Z88" i="5"/>
  <c r="X88" i="5"/>
  <c r="V88" i="5"/>
  <c r="T88" i="5"/>
  <c r="R88" i="5"/>
  <c r="P88" i="5"/>
  <c r="N88" i="5"/>
  <c r="L88" i="5"/>
  <c r="J88" i="5"/>
  <c r="AF87" i="5"/>
  <c r="AD87" i="5"/>
  <c r="AB87" i="5"/>
  <c r="Z87" i="5"/>
  <c r="X87" i="5"/>
  <c r="V87" i="5"/>
  <c r="T87" i="5"/>
  <c r="R87" i="5"/>
  <c r="P87" i="5"/>
  <c r="N87" i="5"/>
  <c r="L87" i="5"/>
  <c r="J87" i="5"/>
  <c r="AF85" i="5"/>
  <c r="AD85" i="5"/>
  <c r="AB85" i="5"/>
  <c r="Z85" i="5"/>
  <c r="X85" i="5"/>
  <c r="V85" i="5"/>
  <c r="T85" i="5"/>
  <c r="R85" i="5"/>
  <c r="P85" i="5"/>
  <c r="N85" i="5"/>
  <c r="L85" i="5"/>
  <c r="J85" i="5"/>
  <c r="AF84" i="5"/>
  <c r="AD84" i="5"/>
  <c r="AB84" i="5"/>
  <c r="Z84" i="5"/>
  <c r="X84" i="5"/>
  <c r="V84" i="5"/>
  <c r="T84" i="5"/>
  <c r="R84" i="5"/>
  <c r="P84" i="5"/>
  <c r="N84" i="5"/>
  <c r="L84" i="5"/>
  <c r="J84" i="5"/>
  <c r="AF83" i="5"/>
  <c r="AD83" i="5"/>
  <c r="AB83" i="5"/>
  <c r="Z83" i="5"/>
  <c r="X83" i="5"/>
  <c r="V83" i="5"/>
  <c r="T83" i="5"/>
  <c r="R83" i="5"/>
  <c r="P83" i="5"/>
  <c r="N83" i="5"/>
  <c r="L83" i="5"/>
  <c r="J83" i="5"/>
  <c r="AF80" i="5"/>
  <c r="AD80" i="5"/>
  <c r="AB80" i="5"/>
  <c r="Z80" i="5"/>
  <c r="X80" i="5"/>
  <c r="V80" i="5"/>
  <c r="T80" i="5"/>
  <c r="R80" i="5"/>
  <c r="P80" i="5"/>
  <c r="N80" i="5"/>
  <c r="L80" i="5"/>
  <c r="AF79" i="5"/>
  <c r="AD79" i="5"/>
  <c r="AB79" i="5"/>
  <c r="Z79" i="5"/>
  <c r="X79" i="5"/>
  <c r="V79" i="5"/>
  <c r="T79" i="5"/>
  <c r="R79" i="5"/>
  <c r="P79" i="5"/>
  <c r="N79" i="5"/>
  <c r="L79" i="5"/>
  <c r="AF76" i="5"/>
  <c r="AD76" i="5"/>
  <c r="AB76" i="5"/>
  <c r="Z76" i="5"/>
  <c r="X76" i="5"/>
  <c r="V76" i="5"/>
  <c r="T76" i="5"/>
  <c r="R76" i="5"/>
  <c r="P76" i="5"/>
  <c r="N76" i="5"/>
  <c r="L76" i="5"/>
  <c r="AG71" i="5"/>
  <c r="AF70" i="5"/>
  <c r="AD70" i="5"/>
  <c r="AB70" i="5"/>
  <c r="Z70" i="5"/>
  <c r="X70" i="5"/>
  <c r="V70" i="5"/>
  <c r="T70" i="5"/>
  <c r="R70" i="5"/>
  <c r="P70" i="5"/>
  <c r="N70" i="5"/>
  <c r="L70" i="5"/>
  <c r="J70" i="5"/>
  <c r="AF69" i="5"/>
  <c r="AD69" i="5"/>
  <c r="AB69" i="5"/>
  <c r="Z69" i="5"/>
  <c r="X69" i="5"/>
  <c r="V69" i="5"/>
  <c r="T69" i="5"/>
  <c r="R69" i="5"/>
  <c r="P69" i="5"/>
  <c r="N69" i="5"/>
  <c r="L69" i="5"/>
  <c r="J69" i="5"/>
  <c r="AF68" i="5"/>
  <c r="AD68" i="5"/>
  <c r="AB68" i="5"/>
  <c r="Z68" i="5"/>
  <c r="X68" i="5"/>
  <c r="V68" i="5"/>
  <c r="T68" i="5"/>
  <c r="R68" i="5"/>
  <c r="P68" i="5"/>
  <c r="N68" i="5"/>
  <c r="L68" i="5"/>
  <c r="J68" i="5"/>
  <c r="AF67" i="5"/>
  <c r="AD67" i="5"/>
  <c r="AB67" i="5"/>
  <c r="Z67" i="5"/>
  <c r="X67" i="5"/>
  <c r="V67" i="5"/>
  <c r="T67" i="5"/>
  <c r="R67" i="5"/>
  <c r="P67" i="5"/>
  <c r="N67" i="5"/>
  <c r="L67" i="5"/>
  <c r="J67" i="5"/>
  <c r="AF66" i="5"/>
  <c r="AD66" i="5"/>
  <c r="AB66" i="5"/>
  <c r="Z66" i="5"/>
  <c r="X66" i="5"/>
  <c r="V66" i="5"/>
  <c r="T66" i="5"/>
  <c r="R66" i="5"/>
  <c r="P66" i="5"/>
  <c r="N66" i="5"/>
  <c r="L66" i="5"/>
  <c r="J66" i="5"/>
  <c r="AF65" i="5"/>
  <c r="AD65" i="5"/>
  <c r="AB65" i="5"/>
  <c r="Z65" i="5"/>
  <c r="X65" i="5"/>
  <c r="V65" i="5"/>
  <c r="T65" i="5"/>
  <c r="R65" i="5"/>
  <c r="P65" i="5"/>
  <c r="N65" i="5"/>
  <c r="L65" i="5"/>
  <c r="J65" i="5"/>
  <c r="AF64" i="5"/>
  <c r="AD64" i="5"/>
  <c r="AB64" i="5"/>
  <c r="Z64" i="5"/>
  <c r="X64" i="5"/>
  <c r="V64" i="5"/>
  <c r="T64" i="5"/>
  <c r="R64" i="5"/>
  <c r="N64" i="5"/>
  <c r="L64" i="5"/>
  <c r="J64" i="5"/>
  <c r="AF63" i="5"/>
  <c r="AD63" i="5"/>
  <c r="AB63" i="5"/>
  <c r="Z63" i="5"/>
  <c r="X63" i="5"/>
  <c r="V63" i="5"/>
  <c r="T63" i="5"/>
  <c r="R63" i="5"/>
  <c r="P63" i="5"/>
  <c r="N63" i="5"/>
  <c r="L63" i="5"/>
  <c r="J63" i="5"/>
  <c r="AF62" i="5"/>
  <c r="AD62" i="5"/>
  <c r="AB62" i="5"/>
  <c r="Z62" i="5"/>
  <c r="X62" i="5"/>
  <c r="V62" i="5"/>
  <c r="T62" i="5"/>
  <c r="R62" i="5"/>
  <c r="P62" i="5"/>
  <c r="N62" i="5"/>
  <c r="L62" i="5"/>
  <c r="J62" i="5"/>
  <c r="AF61" i="5"/>
  <c r="AD61" i="5"/>
  <c r="AB61" i="5"/>
  <c r="Z61" i="5"/>
  <c r="X61" i="5"/>
  <c r="V61" i="5"/>
  <c r="T61" i="5"/>
  <c r="R61" i="5"/>
  <c r="P61" i="5"/>
  <c r="N61" i="5"/>
  <c r="L61" i="5"/>
  <c r="J61" i="5"/>
  <c r="AF60" i="5"/>
  <c r="AD60" i="5"/>
  <c r="AB60" i="5"/>
  <c r="Z60" i="5"/>
  <c r="X60" i="5"/>
  <c r="V60" i="5"/>
  <c r="T60" i="5"/>
  <c r="R60" i="5"/>
  <c r="P60" i="5"/>
  <c r="N60" i="5"/>
  <c r="L60" i="5"/>
  <c r="J60" i="5"/>
  <c r="AF59" i="5"/>
  <c r="AD59" i="5"/>
  <c r="AB59" i="5"/>
  <c r="Z59" i="5"/>
  <c r="X59" i="5"/>
  <c r="V59" i="5"/>
  <c r="T59" i="5"/>
  <c r="R59" i="5"/>
  <c r="P59" i="5"/>
  <c r="N59" i="5"/>
  <c r="L59" i="5"/>
  <c r="J59" i="5"/>
  <c r="AF58" i="5"/>
  <c r="AD58" i="5"/>
  <c r="AB58" i="5"/>
  <c r="Z58" i="5"/>
  <c r="X58" i="5"/>
  <c r="V58" i="5"/>
  <c r="T58" i="5"/>
  <c r="R58" i="5"/>
  <c r="P58" i="5"/>
  <c r="N58" i="5"/>
  <c r="L58" i="5"/>
  <c r="J58" i="5"/>
  <c r="AF57" i="5"/>
  <c r="AD57" i="5"/>
  <c r="AB57" i="5"/>
  <c r="Z57" i="5"/>
  <c r="X57" i="5"/>
  <c r="V57" i="5"/>
  <c r="T57" i="5"/>
  <c r="R57" i="5"/>
  <c r="P57" i="5"/>
  <c r="N57" i="5"/>
  <c r="L57" i="5"/>
  <c r="J57" i="5"/>
  <c r="AF56" i="5"/>
  <c r="AD56" i="5"/>
  <c r="AB56" i="5"/>
  <c r="Z56" i="5"/>
  <c r="X56" i="5"/>
  <c r="V56" i="5"/>
  <c r="T56" i="5"/>
  <c r="R56" i="5"/>
  <c r="P56" i="5"/>
  <c r="N56" i="5"/>
  <c r="L56" i="5"/>
  <c r="J56" i="5"/>
  <c r="AF55" i="5"/>
  <c r="AD55" i="5"/>
  <c r="AB55" i="5"/>
  <c r="Z55" i="5"/>
  <c r="X55" i="5"/>
  <c r="V55" i="5"/>
  <c r="T55" i="5"/>
  <c r="R55" i="5"/>
  <c r="P55" i="5"/>
  <c r="N55" i="5"/>
  <c r="L55" i="5"/>
  <c r="J55" i="5"/>
  <c r="AF54" i="5"/>
  <c r="AD54" i="5"/>
  <c r="AB54" i="5"/>
  <c r="Z54" i="5"/>
  <c r="X54" i="5"/>
  <c r="V54" i="5"/>
  <c r="T54" i="5"/>
  <c r="R54" i="5"/>
  <c r="P54" i="5"/>
  <c r="N54" i="5"/>
  <c r="L54" i="5"/>
  <c r="J54" i="5"/>
  <c r="AF53" i="5"/>
  <c r="AD53" i="5"/>
  <c r="AB53" i="5"/>
  <c r="Z53" i="5"/>
  <c r="X53" i="5"/>
  <c r="V53" i="5"/>
  <c r="T53" i="5"/>
  <c r="R53" i="5"/>
  <c r="P53" i="5"/>
  <c r="N53" i="5"/>
  <c r="L53" i="5"/>
  <c r="J53" i="5"/>
  <c r="AF52" i="5"/>
  <c r="AD52" i="5"/>
  <c r="AB52" i="5"/>
  <c r="Z52" i="5"/>
  <c r="X52" i="5"/>
  <c r="V52" i="5"/>
  <c r="T52" i="5"/>
  <c r="R52" i="5"/>
  <c r="P52" i="5"/>
  <c r="N52" i="5"/>
  <c r="L52" i="5"/>
  <c r="J52" i="5"/>
  <c r="AF51" i="5"/>
  <c r="AD51" i="5"/>
  <c r="AB51" i="5"/>
  <c r="Z51" i="5"/>
  <c r="X51" i="5"/>
  <c r="V51" i="5"/>
  <c r="T51" i="5"/>
  <c r="R51" i="5"/>
  <c r="P51" i="5"/>
  <c r="N51" i="5"/>
  <c r="L51" i="5"/>
  <c r="J51" i="5"/>
  <c r="AF50" i="5"/>
  <c r="AD50" i="5"/>
  <c r="AB50" i="5"/>
  <c r="Z50" i="5"/>
  <c r="X50" i="5"/>
  <c r="V50" i="5"/>
  <c r="T50" i="5"/>
  <c r="R50" i="5"/>
  <c r="P50" i="5"/>
  <c r="N50" i="5"/>
  <c r="L50" i="5"/>
  <c r="J50" i="5"/>
  <c r="AF49" i="5"/>
  <c r="AD49" i="5"/>
  <c r="AB49" i="5"/>
  <c r="Z49" i="5"/>
  <c r="X49" i="5"/>
  <c r="V49" i="5"/>
  <c r="T49" i="5"/>
  <c r="R49" i="5"/>
  <c r="P49" i="5"/>
  <c r="N49" i="5"/>
  <c r="L49" i="5"/>
  <c r="J49" i="5"/>
  <c r="AF48" i="5"/>
  <c r="AD48" i="5"/>
  <c r="AB48" i="5"/>
  <c r="Z48" i="5"/>
  <c r="X48" i="5"/>
  <c r="V48" i="5"/>
  <c r="T48" i="5"/>
  <c r="R48" i="5"/>
  <c r="P48" i="5"/>
  <c r="N48" i="5"/>
  <c r="L48" i="5"/>
  <c r="J48" i="5"/>
  <c r="AF47" i="5"/>
  <c r="AD47" i="5"/>
  <c r="AB47" i="5"/>
  <c r="Z47" i="5"/>
  <c r="X47" i="5"/>
  <c r="V47" i="5"/>
  <c r="T47" i="5"/>
  <c r="R47" i="5"/>
  <c r="P47" i="5"/>
  <c r="N47" i="5"/>
  <c r="L47" i="5"/>
  <c r="J47" i="5"/>
  <c r="AF46" i="5"/>
  <c r="AD46" i="5"/>
  <c r="AB46" i="5"/>
  <c r="Z46" i="5"/>
  <c r="X46" i="5"/>
  <c r="V46" i="5"/>
  <c r="T46" i="5"/>
  <c r="R46" i="5"/>
  <c r="P46" i="5"/>
  <c r="N46" i="5"/>
  <c r="L46" i="5"/>
  <c r="J46" i="5"/>
  <c r="AF45" i="5"/>
  <c r="AD45" i="5"/>
  <c r="AB45" i="5"/>
  <c r="Z45" i="5"/>
  <c r="X45" i="5"/>
  <c r="V45" i="5"/>
  <c r="T45" i="5"/>
  <c r="R45" i="5"/>
  <c r="P45" i="5"/>
  <c r="N45" i="5"/>
  <c r="L45" i="5"/>
  <c r="J45" i="5"/>
  <c r="AF44" i="5"/>
  <c r="AD44" i="5"/>
  <c r="AB44" i="5"/>
  <c r="Z44" i="5"/>
  <c r="X44" i="5"/>
  <c r="V44" i="5"/>
  <c r="T44" i="5"/>
  <c r="R44" i="5"/>
  <c r="P44" i="5"/>
  <c r="N44" i="5"/>
  <c r="L44" i="5"/>
  <c r="J44" i="5"/>
  <c r="AF43" i="5"/>
  <c r="AD43" i="5"/>
  <c r="AB43" i="5"/>
  <c r="Z43" i="5"/>
  <c r="X43" i="5"/>
  <c r="V43" i="5"/>
  <c r="T43" i="5"/>
  <c r="R43" i="5"/>
  <c r="P43" i="5"/>
  <c r="N43" i="5"/>
  <c r="L43" i="5"/>
  <c r="J43" i="5"/>
  <c r="AF42" i="5"/>
  <c r="AD42" i="5"/>
  <c r="AB42" i="5"/>
  <c r="Z42" i="5"/>
  <c r="X42" i="5"/>
  <c r="V42" i="5"/>
  <c r="T42" i="5"/>
  <c r="R42" i="5"/>
  <c r="P42" i="5"/>
  <c r="N42" i="5"/>
  <c r="L42" i="5"/>
  <c r="J42" i="5"/>
  <c r="AF36" i="5"/>
  <c r="AD36" i="5"/>
  <c r="AB36" i="5"/>
  <c r="Z36" i="5"/>
  <c r="X36" i="5"/>
  <c r="V36" i="5"/>
  <c r="T36" i="5"/>
  <c r="R36" i="5"/>
  <c r="P36" i="5"/>
  <c r="N36" i="5"/>
  <c r="L36" i="5"/>
  <c r="J36" i="5"/>
  <c r="AF35" i="5"/>
  <c r="AD35" i="5"/>
  <c r="AB35" i="5"/>
  <c r="Z35" i="5"/>
  <c r="X35" i="5"/>
  <c r="V35" i="5"/>
  <c r="T35" i="5"/>
  <c r="R35" i="5"/>
  <c r="P35" i="5"/>
  <c r="N35" i="5"/>
  <c r="L35" i="5"/>
  <c r="J35" i="5"/>
  <c r="AF34" i="5"/>
  <c r="AD34" i="5"/>
  <c r="AB34" i="5"/>
  <c r="Z34" i="5"/>
  <c r="X34" i="5"/>
  <c r="V34" i="5"/>
  <c r="T34" i="5"/>
  <c r="R34" i="5"/>
  <c r="P34" i="5"/>
  <c r="N34" i="5"/>
  <c r="AF33" i="5"/>
  <c r="AD33" i="5"/>
  <c r="AB33" i="5"/>
  <c r="Z33" i="5"/>
  <c r="X33" i="5"/>
  <c r="V33" i="5"/>
  <c r="T33" i="5"/>
  <c r="R33" i="5"/>
  <c r="P33" i="5"/>
  <c r="N33" i="5"/>
  <c r="L33" i="5"/>
  <c r="J33" i="5"/>
  <c r="AF32" i="5"/>
  <c r="AD32" i="5"/>
  <c r="AB32" i="5"/>
  <c r="Z32" i="5"/>
  <c r="X32" i="5"/>
  <c r="V32" i="5"/>
  <c r="T32" i="5"/>
  <c r="R32" i="5"/>
  <c r="P32" i="5"/>
  <c r="N32" i="5"/>
  <c r="L32" i="5"/>
  <c r="J32" i="5"/>
  <c r="AF27" i="5"/>
  <c r="AD27" i="5"/>
  <c r="AB27" i="5"/>
  <c r="Z27" i="5"/>
  <c r="X27" i="5"/>
  <c r="V27" i="5"/>
  <c r="T27" i="5"/>
  <c r="R27" i="5"/>
  <c r="P27" i="5"/>
  <c r="N27" i="5"/>
  <c r="L27" i="5"/>
  <c r="J27" i="5"/>
  <c r="AF24" i="5"/>
  <c r="AG24" i="5" s="1"/>
  <c r="T10" i="1" s="1"/>
  <c r="AF19" i="5"/>
  <c r="AD19" i="5"/>
  <c r="AB19" i="5"/>
  <c r="Z19" i="5"/>
  <c r="X19" i="5"/>
  <c r="V19" i="5"/>
  <c r="T19" i="5"/>
  <c r="R19" i="5"/>
  <c r="P19" i="5"/>
  <c r="N19" i="5"/>
  <c r="J19" i="5"/>
  <c r="AF17" i="5"/>
  <c r="AD17" i="5"/>
  <c r="AB17" i="5"/>
  <c r="Z17" i="5"/>
  <c r="X17" i="5"/>
  <c r="V17" i="5"/>
  <c r="T17" i="5"/>
  <c r="R17" i="5"/>
  <c r="P17" i="5"/>
  <c r="N17" i="5"/>
  <c r="L17" i="5"/>
  <c r="J17" i="5"/>
  <c r="AF16" i="5"/>
  <c r="AD16" i="5"/>
  <c r="AB16" i="5"/>
  <c r="Z16" i="5"/>
  <c r="X16" i="5"/>
  <c r="V16" i="5"/>
  <c r="T16" i="5"/>
  <c r="P16" i="5"/>
  <c r="N16" i="5"/>
  <c r="L16" i="5"/>
  <c r="J16" i="5"/>
  <c r="AF15" i="5"/>
  <c r="AD15" i="5"/>
  <c r="AB15" i="5"/>
  <c r="Z15" i="5"/>
  <c r="X15" i="5"/>
  <c r="V15" i="5"/>
  <c r="T15" i="5"/>
  <c r="R15" i="5"/>
  <c r="P15" i="5"/>
  <c r="N15" i="5"/>
  <c r="L15" i="5"/>
  <c r="AF13" i="5"/>
  <c r="AD13" i="5"/>
  <c r="AB13" i="5"/>
  <c r="Z13" i="5"/>
  <c r="X13" i="5"/>
  <c r="V13" i="5"/>
  <c r="T13" i="5"/>
  <c r="R13" i="5"/>
  <c r="P13" i="5"/>
  <c r="N13" i="5"/>
  <c r="L13" i="5"/>
  <c r="J13" i="5"/>
  <c r="AF12" i="5"/>
  <c r="AD12" i="5"/>
  <c r="AB12" i="5"/>
  <c r="Z12" i="5"/>
  <c r="X12" i="5"/>
  <c r="V12" i="5"/>
  <c r="T12" i="5"/>
  <c r="R12" i="5"/>
  <c r="P12" i="5"/>
  <c r="N12" i="5"/>
  <c r="L12" i="5"/>
  <c r="AF10" i="5"/>
  <c r="AD10" i="5"/>
  <c r="AB10" i="5"/>
  <c r="Z10" i="5"/>
  <c r="X10" i="5"/>
  <c r="V10" i="5"/>
  <c r="T10" i="5"/>
  <c r="R10" i="5"/>
  <c r="P10" i="5"/>
  <c r="N10" i="5"/>
  <c r="L10" i="5"/>
  <c r="J10" i="5"/>
  <c r="AF9" i="5"/>
  <c r="AD9" i="5"/>
  <c r="AB9" i="5"/>
  <c r="Z9" i="5"/>
  <c r="X9" i="5"/>
  <c r="V9" i="5"/>
  <c r="T9" i="5"/>
  <c r="R9" i="5"/>
  <c r="P9" i="5"/>
  <c r="N9" i="5"/>
  <c r="L9" i="5"/>
  <c r="J9" i="5"/>
  <c r="AF8" i="5"/>
  <c r="AD8" i="5"/>
  <c r="AB8" i="5"/>
  <c r="Z8" i="5"/>
  <c r="X8" i="5"/>
  <c r="V8" i="5"/>
  <c r="T8" i="5"/>
  <c r="R8" i="5"/>
  <c r="P8" i="5"/>
  <c r="N8" i="5"/>
  <c r="L8" i="5"/>
  <c r="J8" i="5"/>
  <c r="AF7" i="5"/>
  <c r="AD7" i="5"/>
  <c r="AB7" i="5"/>
  <c r="Z7" i="5"/>
  <c r="X7" i="5"/>
  <c r="V7" i="5"/>
  <c r="T7" i="5"/>
  <c r="R7" i="5"/>
  <c r="P7" i="5"/>
  <c r="N7" i="5"/>
  <c r="L7" i="5"/>
  <c r="J7" i="5"/>
  <c r="AF6" i="5"/>
  <c r="AD6" i="5"/>
  <c r="AB6" i="5"/>
  <c r="Z6" i="5"/>
  <c r="X6" i="5"/>
  <c r="V6" i="5"/>
  <c r="T6" i="5"/>
  <c r="R6" i="5"/>
  <c r="P6" i="5"/>
  <c r="N6" i="5"/>
  <c r="L6" i="5"/>
  <c r="J6" i="5"/>
  <c r="AF5" i="5"/>
  <c r="AD5" i="5"/>
  <c r="AB5" i="5"/>
  <c r="Z5" i="5"/>
  <c r="X5" i="5"/>
  <c r="V5" i="5"/>
  <c r="T5" i="5"/>
  <c r="R5" i="5"/>
  <c r="P5" i="5"/>
  <c r="N5" i="5"/>
  <c r="L5" i="5"/>
  <c r="J5" i="5"/>
  <c r="AF3" i="5"/>
  <c r="AD3" i="5"/>
  <c r="AB3" i="5"/>
  <c r="Z3" i="5"/>
  <c r="X3" i="5"/>
  <c r="V3" i="5"/>
  <c r="T3" i="5"/>
  <c r="R3" i="5"/>
  <c r="P3" i="5"/>
  <c r="N3" i="5"/>
  <c r="AG17" i="5" l="1"/>
  <c r="AA8" i="1" s="1"/>
  <c r="AH46" i="1"/>
  <c r="AH53" i="1"/>
  <c r="AG177" i="5"/>
  <c r="AG80" i="5"/>
  <c r="T20" i="1" s="1"/>
  <c r="AG158" i="5"/>
  <c r="AV40" i="1" s="1"/>
  <c r="AG161" i="5"/>
  <c r="AA42" i="1" s="1"/>
  <c r="AG174" i="5"/>
  <c r="AG178" i="5"/>
  <c r="AH49" i="1" s="1"/>
  <c r="AG179" i="5"/>
  <c r="AG187" i="5"/>
  <c r="AG191" i="5"/>
  <c r="AG192" i="5"/>
  <c r="AG200" i="5"/>
  <c r="AA57" i="1" s="1"/>
  <c r="AG203" i="5"/>
  <c r="AG204" i="5"/>
  <c r="AV58" i="1" s="1"/>
  <c r="AG109" i="5"/>
  <c r="AG32" i="5"/>
  <c r="AG33" i="5"/>
  <c r="AG35" i="5"/>
  <c r="AG60" i="5"/>
  <c r="AG79" i="5"/>
  <c r="AV18" i="1" s="1"/>
  <c r="AG84" i="5"/>
  <c r="T21" i="1" s="1"/>
  <c r="AG92" i="5"/>
  <c r="AA22" i="1" s="1"/>
  <c r="AG96" i="5"/>
  <c r="AA23" i="1" s="1"/>
  <c r="AG133" i="5"/>
  <c r="AG103" i="5"/>
  <c r="AG104" i="5"/>
  <c r="AG124" i="5"/>
  <c r="AG125" i="5"/>
  <c r="T29" i="1" s="1"/>
  <c r="AG128" i="5"/>
  <c r="AG129" i="5"/>
  <c r="AG131" i="5"/>
  <c r="AV30" i="1" s="1"/>
  <c r="AG105" i="5"/>
  <c r="AG107" i="5"/>
  <c r="AV25" i="1" s="1"/>
  <c r="AG108" i="5"/>
  <c r="AG118" i="5"/>
  <c r="AV27" i="1" s="1"/>
  <c r="AG119" i="5"/>
  <c r="AG121" i="5"/>
  <c r="AG83" i="5"/>
  <c r="AV20" i="1" s="1"/>
  <c r="AG95" i="5"/>
  <c r="T23" i="1" s="1"/>
  <c r="T17" i="1"/>
  <c r="AG182" i="5"/>
  <c r="AG168" i="5"/>
  <c r="AG145" i="5"/>
  <c r="AG150" i="5"/>
  <c r="T36" i="1" s="1"/>
  <c r="AG156" i="5"/>
  <c r="T40" i="1" s="1"/>
  <c r="AG151" i="5"/>
  <c r="AV36" i="1" s="1"/>
  <c r="AG153" i="5"/>
  <c r="T39" i="1" s="1"/>
  <c r="AG154" i="5"/>
  <c r="AA39" i="1" s="1"/>
  <c r="AG155" i="5"/>
  <c r="AV39" i="1" s="1"/>
  <c r="AG169" i="5"/>
  <c r="AV50" i="1" s="1"/>
  <c r="AG185" i="5"/>
  <c r="AV54" i="1" s="1"/>
  <c r="AG189" i="5"/>
  <c r="AG194" i="5"/>
  <c r="AG197" i="5"/>
  <c r="AG198" i="5"/>
  <c r="AG199" i="5"/>
  <c r="AG201" i="5"/>
  <c r="AV57" i="1" s="1"/>
  <c r="AG202" i="5"/>
  <c r="AG152" i="5"/>
  <c r="AO36" i="1" s="1"/>
  <c r="AG144" i="5"/>
  <c r="AG141" i="5"/>
  <c r="AG138" i="5"/>
  <c r="AV32" i="1" s="1"/>
  <c r="AG135" i="5"/>
  <c r="AV31" i="1" s="1"/>
  <c r="AG36" i="5"/>
  <c r="AV12" i="1" s="1"/>
  <c r="AG91" i="5"/>
  <c r="AG90" i="5"/>
  <c r="AG89" i="5"/>
  <c r="AG88" i="5"/>
  <c r="AG27" i="5"/>
  <c r="AV10" i="1" s="1"/>
  <c r="AG127" i="5"/>
  <c r="AV29" i="1" s="1"/>
  <c r="AG98" i="5"/>
  <c r="AV23" i="1" s="1"/>
  <c r="AG94" i="5"/>
  <c r="AV22" i="1" s="1"/>
  <c r="AG61" i="5"/>
  <c r="AG62" i="5"/>
  <c r="AG64" i="5"/>
  <c r="AG116" i="5"/>
  <c r="AV38" i="1" s="1"/>
  <c r="AG115" i="5"/>
  <c r="AA27" i="1" s="1"/>
  <c r="AG114" i="5"/>
  <c r="AG113" i="5"/>
  <c r="AG112" i="5"/>
  <c r="AG111" i="5"/>
  <c r="AV26" i="1" s="1"/>
  <c r="AG102" i="5"/>
  <c r="AG100" i="5"/>
  <c r="AG99" i="5"/>
  <c r="AG76" i="5"/>
  <c r="AV17" i="1" s="1"/>
  <c r="AG120" i="5"/>
  <c r="AG193" i="5"/>
  <c r="AG190" i="5"/>
  <c r="AG184" i="5"/>
  <c r="AA54" i="1" s="1"/>
  <c r="AG163" i="5"/>
  <c r="AA44" i="1" s="1"/>
  <c r="AG171" i="5"/>
  <c r="AA51" i="1" s="1"/>
  <c r="AG162" i="5"/>
  <c r="AV41" i="1" s="1"/>
  <c r="AG183" i="5"/>
  <c r="T54" i="1" s="1"/>
  <c r="AG188" i="5"/>
  <c r="AG186" i="5"/>
  <c r="AG195" i="5"/>
  <c r="AG175" i="5"/>
  <c r="AG170" i="5"/>
  <c r="T51" i="1" s="1"/>
  <c r="AG159" i="5"/>
  <c r="AG176" i="5"/>
  <c r="AG180" i="5"/>
  <c r="T53" i="1" s="1"/>
  <c r="AG87" i="5"/>
  <c r="AV21" i="1" s="1"/>
  <c r="AG85" i="5"/>
  <c r="AA21" i="1" s="1"/>
  <c r="AG136" i="5"/>
  <c r="T32" i="1" s="1"/>
  <c r="AG132" i="5"/>
  <c r="AG6" i="5"/>
  <c r="AG15" i="5"/>
  <c r="AV7" i="1" s="1"/>
  <c r="AG50" i="5"/>
  <c r="AG54" i="5"/>
  <c r="AG58" i="5"/>
  <c r="AG67" i="5"/>
  <c r="AG142" i="5"/>
  <c r="AG7" i="5"/>
  <c r="AG45" i="5"/>
  <c r="AG53" i="5"/>
  <c r="AG65" i="5"/>
  <c r="AG5" i="5"/>
  <c r="AV4" i="1" s="1"/>
  <c r="AG8" i="5"/>
  <c r="AV5" i="1" s="1"/>
  <c r="AG12" i="5"/>
  <c r="AV6" i="1" s="1"/>
  <c r="AG13" i="5"/>
  <c r="T7" i="1" s="1"/>
  <c r="AG19" i="5"/>
  <c r="AV8" i="1" s="1"/>
  <c r="AG44" i="5"/>
  <c r="AG47" i="5"/>
  <c r="AG48" i="5"/>
  <c r="AG51" i="5"/>
  <c r="AG52" i="5"/>
  <c r="AG55" i="5"/>
  <c r="AG56" i="5"/>
  <c r="AG57" i="5"/>
  <c r="AG59" i="5"/>
  <c r="AG66" i="5"/>
  <c r="AG68" i="5"/>
  <c r="AG196" i="5"/>
  <c r="AG42" i="5"/>
  <c r="AG70" i="5"/>
  <c r="AG43" i="5"/>
  <c r="AG46" i="5"/>
  <c r="AG49" i="5"/>
  <c r="AG63" i="5"/>
  <c r="AG69" i="5"/>
  <c r="AG16" i="5"/>
  <c r="T8" i="1" s="1"/>
  <c r="AG9" i="5"/>
  <c r="AG10" i="5"/>
  <c r="J3" i="5"/>
  <c r="L3" i="5"/>
  <c r="T52" i="1" l="1"/>
  <c r="T50" i="1"/>
  <c r="T49" i="1"/>
  <c r="AA55" i="1"/>
  <c r="T27" i="1"/>
  <c r="T26" i="1"/>
  <c r="T22" i="1"/>
  <c r="AV24" i="1"/>
  <c r="AV56" i="1"/>
  <c r="T56" i="1"/>
  <c r="AH50" i="1"/>
  <c r="T34" i="1"/>
  <c r="T24" i="1"/>
  <c r="T31" i="1"/>
  <c r="T38" i="1"/>
  <c r="T35" i="1"/>
  <c r="T57" i="1"/>
  <c r="T30" i="1"/>
  <c r="AV34" i="1"/>
  <c r="T37" i="1"/>
  <c r="T58" i="1"/>
  <c r="T55" i="1"/>
  <c r="AV55" i="1"/>
  <c r="AV52" i="1"/>
  <c r="AV53" i="1"/>
  <c r="T28" i="1"/>
  <c r="T41" i="1"/>
  <c r="AH48" i="1"/>
  <c r="AV37" i="1"/>
  <c r="T25" i="1"/>
  <c r="T6" i="1"/>
  <c r="T12" i="1"/>
  <c r="T16" i="1"/>
  <c r="T3" i="1"/>
  <c r="AG3" i="5"/>
  <c r="AV3" i="1" s="1"/>
  <c r="AB3" i="1" l="1"/>
  <c r="AV59" i="1" l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AB59" i="1"/>
  <c r="L34" i="5"/>
  <c r="AG34" i="5" s="1"/>
  <c r="AA12" i="1" l="1"/>
  <c r="AA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Bc. Beránek Jan</author>
  </authors>
  <commentList>
    <comment ref="R3" authorId="0" shapeId="0" xr:uid="{C4AEDA32-62E0-4D41-B6DE-826D5E763F6A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LED</t>
        </r>
      </text>
    </comment>
    <comment ref="AE6" authorId="0" shapeId="0" xr:uid="{5E48652E-8813-4563-AD16-6480DF71488F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Spotřeba tepla na ohřev TUV rozdělena mei objekty 50% a 50%</t>
        </r>
      </text>
    </comment>
    <comment ref="AF6" authorId="0" shapeId="0" xr:uid="{C10ED311-D2C2-4BB4-A642-934950D5F3E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Spotřeba tepla na ohřev TUV rozdělena mei objekty 50% a 50%</t>
        </r>
      </text>
    </comment>
    <comment ref="AG6" authorId="0" shapeId="0" xr:uid="{F8C32571-97FB-4E81-A8B2-4AAF2634BD1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Spotřeba tepla na ohřev TUV rozdělena mei objekty 50% a 50%</t>
        </r>
      </text>
    </comment>
    <comment ref="AE7" authorId="0" shapeId="0" xr:uid="{85536B80-1785-452D-A212-09B4773C6B7F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Spotřeba tepla na ohřev TUV rozdělena mei objekty 50% a 50%</t>
        </r>
      </text>
    </comment>
    <comment ref="AF7" authorId="0" shapeId="0" xr:uid="{C74E5D39-01F0-4C50-A7F7-943406175BD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Spotřeba tepla na ohřev TUV rozdělena mei objekty 50% a 50%</t>
        </r>
      </text>
    </comment>
    <comment ref="AG7" authorId="0" shapeId="0" xr:uid="{3EED51D5-2D61-4B0B-B4F6-B54B805F498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Spotřeba tepla na ohřev TUV rozdělena mei objekty 50% a 50%</t>
        </r>
      </text>
    </comment>
    <comment ref="S10" authorId="0" shapeId="0" xr:uid="{FF7F7614-5B0A-44A5-BADC-3400089C4A8C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Jan:
</t>
        </r>
        <r>
          <rPr>
            <sz val="9"/>
            <color indexed="81"/>
            <rFont val="Tahoma"/>
            <family val="2"/>
            <charset val="238"/>
          </rPr>
          <t>Snížení spotřeby, Ubytovna uzavřena, ve spotřebě jen Naděje p.o.</t>
        </r>
      </text>
    </comment>
    <comment ref="Z10" authorId="0" shapeId="0" xr:uid="{81938463-035C-4672-BB7E-2646B5B20B6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2024 Odběrné místo zrušeno, plynoměr demontován</t>
        </r>
      </text>
    </comment>
    <comment ref="AB10" authorId="0" shapeId="0" xr:uid="{8B3A4934-123C-429E-A54D-523D02F46DCE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Ubytovna 628,416 + 130,2
SVJ 206,302</t>
        </r>
      </text>
    </comment>
    <comment ref="AC10" authorId="0" shapeId="0" xr:uid="{AE6F4E23-A722-4F86-923F-547FBA167586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Ubytovna 648,216 + 166,2
SVJ 160,5</t>
        </r>
      </text>
    </comment>
    <comment ref="AD10" authorId="0" shapeId="0" xr:uid="{143D4245-8522-4416-8F54-7FC4B22F9EF2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Ubytovna 781,564 + 142,8
SVJ 176,9</t>
        </r>
      </text>
    </comment>
    <comment ref="AE10" authorId="0" shapeId="0" xr:uid="{01294FD9-9386-41DE-8C97-725391500AE7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Ubytovna 707,1 + 138,57
SVJ 155,53</t>
        </r>
      </text>
    </comment>
    <comment ref="AF10" authorId="0" shapeId="0" xr:uid="{CD8895A9-4068-407C-99DD-226C8296F4D2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Ubytovna 547,123 + 131,44
SVJ 157,18</t>
        </r>
      </text>
    </comment>
    <comment ref="AG10" authorId="0" shapeId="0" xr:uid="{6A986A03-EE32-42C4-B33B-49C0B8E45E95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Ubytovna 282 + 108,27
SVJ 112,23</t>
        </r>
      </text>
    </comment>
    <comment ref="AQ10" authorId="0" shapeId="0" xr:uid="{FAE7285C-B2AF-409F-B49E-7BA73425A0B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SČVK 4846 m3
SVJ 1312 m3
Ubytovna + Naděje 3534 m3</t>
        </r>
      </text>
    </comment>
    <comment ref="AR10" authorId="0" shapeId="0" xr:uid="{81C8CAF4-CF6C-4E63-B4A9-34BCE0A26BEF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SČVK 3813 m3
SVJ 1262 m3
Ubytovna + Naděje 2551 m3</t>
        </r>
      </text>
    </comment>
    <comment ref="AS10" authorId="0" shapeId="0" xr:uid="{0B76C394-6DA7-4622-AEDC-3583DD7269BF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SČVK 1812 m3
SVJ 1271,8 m3
Ubytovna + Naděje 540,2 m3</t>
        </r>
      </text>
    </comment>
    <comment ref="AT10" authorId="0" shapeId="0" xr:uid="{6576C4EE-78B6-4FF8-8285-BB933304221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SČVK 1815 m3
SVJ 1455 m3
Ubytovna + Naděje </t>
        </r>
      </text>
    </comment>
    <comment ref="AU10" authorId="0" shapeId="0" xr:uid="{41CDD697-89FF-46F4-BA3A-5E924D808A9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SČVK 1902 m3
SVJ 1188,21 m3</t>
        </r>
      </text>
    </comment>
    <comment ref="AA11" authorId="0" shapeId="0" xr:uid="{AFB1E6EB-5734-46E1-9D7D-FA176D60871C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30,37770 MWh do 22.4.2025</t>
        </r>
      </text>
    </comment>
    <comment ref="AA12" authorId="0" shapeId="0" xr:uid="{FB477AD0-C8A9-4289-BC41-5066E5797BEA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30,75924 do 22/4</t>
        </r>
      </text>
    </comment>
    <comment ref="AT12" authorId="0" shapeId="0" xr:uid="{3555D2AB-342A-4D2A-A5FE-DF143AD899B1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ELKO 95 m3</t>
        </r>
      </text>
    </comment>
    <comment ref="AU12" authorId="0" shapeId="0" xr:uid="{137422D4-2711-444C-A9D0-D293282CFCA9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ELKO 123 m3</t>
        </r>
      </text>
    </comment>
    <comment ref="T16" authorId="0" shapeId="0" xr:uid="{50A9F1E9-770D-470F-A75E-289C6A16539A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Jan:
</t>
        </r>
        <r>
          <rPr>
            <sz val="9"/>
            <color indexed="81"/>
            <rFont val="Tahoma"/>
            <family val="2"/>
            <charset val="238"/>
          </rPr>
          <t>Není v poměru s rokem 2024</t>
        </r>
      </text>
    </comment>
    <comment ref="R17" authorId="0" shapeId="0" xr:uid="{6F79B79A-A86B-46D2-8B75-62C8DF23D5D6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MVE 72,833
Přeúčtovaná 1,632</t>
        </r>
      </text>
    </comment>
    <comment ref="S17" authorId="0" shapeId="0" xr:uid="{E9A7978E-C887-4F13-8B63-811EDC7FBBE9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70,088 MVE
8,468 přeúčtovaná</t>
        </r>
      </text>
    </comment>
    <comment ref="AA21" authorId="0" shapeId="0" xr:uid="{AFE2507A-1C9E-40C5-99BC-2482CD757AA0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1,98567 do 15.4.</t>
        </r>
      </text>
    </comment>
    <comment ref="AU21" authorId="0" shapeId="0" xr:uid="{53074A2B-B4A7-4364-9AFE-D7DA4C7B184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Využívání vodních prvků, nutné prověřit ostatní, změkčovač, WC, stav přípojky, …..</t>
        </r>
      </text>
    </comment>
    <comment ref="AA22" authorId="0" shapeId="0" xr:uid="{40D0C6C1-B8C9-4547-83BF-4F800AE24F00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2,23335 do 04/2025</t>
        </r>
      </text>
    </comment>
    <comment ref="S26" authorId="0" shapeId="0" xr:uid="{CB36A18A-A095-4991-B6A2-4E49FA34F43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Nákup většího množství výpočetní techniky a lokálního elektrického vytápění
</t>
        </r>
      </text>
    </comment>
    <comment ref="X26" authorId="0" shapeId="0" xr:uid="{DAEA32D3-103C-4DF4-A040-48EF2B83C324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Odběrné místo zrušeno</t>
        </r>
      </text>
    </comment>
    <comment ref="AU26" authorId="0" shapeId="0" xr:uid="{6C011EC8-CF81-4FE3-9BBC-4207BE069C8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2023 změna ohřevu vody, předtím vlažná voda, nyní teplá = zvýšená spotřeba</t>
        </r>
      </text>
    </comment>
    <comment ref="AA27" authorId="0" shapeId="0" xr:uid="{4D5CF2B8-CA22-4902-BD28-62578AABE5D4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12,93438 MWh 1.1.-15.4.2025</t>
        </r>
      </text>
    </comment>
    <comment ref="K28" authorId="0" shapeId="0" xr:uid="{31051798-8B07-4DE1-AD75-1E62750A4995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Jan:
</t>
        </r>
        <r>
          <rPr>
            <sz val="9"/>
            <color indexed="81"/>
            <rFont val="Tahoma"/>
            <family val="2"/>
            <charset val="238"/>
          </rPr>
          <t>ZUŠ letní prázdniny, Mozaika léto So-Ne 7:30-17:00</t>
        </r>
      </text>
    </comment>
    <comment ref="R32" authorId="0" shapeId="0" xr:uid="{417F8EC7-DA38-4B61-8BC3-6288A68E780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2023 pořízení AC jednotky</t>
        </r>
      </text>
    </comment>
    <comment ref="S32" authorId="0" shapeId="0" xr:uid="{67C9E4A5-813B-4A10-911B-D4389ADFCB0F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2024 dobíjení elektromobilů
zvýšení počtu akcí</t>
        </r>
      </text>
    </comment>
    <comment ref="AN36" authorId="0" shapeId="0" xr:uid="{97AEBB2B-2A9E-495B-812C-9D8E198A546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36,55 t</t>
        </r>
      </text>
    </comment>
    <comment ref="Z39" authorId="0" shapeId="0" xr:uid="{794FA6BC-3319-4227-BF08-DFA604D8E31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23/4</t>
        </r>
      </text>
    </comment>
    <comment ref="S41" authorId="0" shapeId="0" xr:uid="{65C7791C-0F40-4591-AC45-B70A2126836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P3+P20</t>
        </r>
      </text>
    </comment>
    <comment ref="AA44" authorId="0" shapeId="0" xr:uid="{FED17181-DF14-4B09-9921-B0E52C616B07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do 28.4.2025 0,07895 MWh</t>
        </r>
      </text>
    </comment>
    <comment ref="S50" authorId="0" shapeId="0" xr:uid="{79AC0D27-5DC0-4C68-AD65-2C70293EBE6D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Nutné instalovat nový podružný elektroměr, předchozí hodnotilé stanovili neznámým způsobem</t>
        </r>
      </text>
    </comment>
    <comment ref="S51" authorId="0" shapeId="0" xr:uid="{78E1EA1A-A3FF-47F9-95B6-4ED7F9266C6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P6</t>
        </r>
      </text>
    </comment>
    <comment ref="Z51" authorId="0" shapeId="0" xr:uid="{AD6B9A42-5611-472E-B058-25173CEF9089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26/4</t>
        </r>
      </text>
    </comment>
    <comment ref="AA51" authorId="0" shapeId="0" xr:uid="{71D1C95A-1488-42D9-896D-42D7CC792F0E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do 26.4.2025 51,50206 MWh</t>
        </r>
      </text>
    </comment>
    <comment ref="S52" authorId="0" shapeId="0" xr:uid="{FA970DCB-E459-419C-AEB8-1E6C27C23EB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P17+P4</t>
        </r>
      </text>
    </comment>
    <comment ref="S53" authorId="0" shapeId="0" xr:uid="{C7A383FA-09D6-426C-9B23-99FC99C73BD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Odečty "Hlavní měření, str. 6"</t>
        </r>
      </text>
    </comment>
    <comment ref="S54" authorId="0" shapeId="0" xr:uid="{6C79CD66-FB80-4106-B7D6-BCC17ED8EADE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Odečty "Fotbal klub, str. 4"</t>
        </r>
      </text>
    </comment>
    <comment ref="Z54" authorId="0" shapeId="0" xr:uid="{D8C40C53-78DD-4E7E-9159-5C2B1186F66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10/5</t>
        </r>
      </text>
    </comment>
    <comment ref="AA54" authorId="0" shapeId="0" xr:uid="{B195BD5C-037C-444B-A5D0-0F527FA82FB2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do 5.5.2025 14,87785 MWh</t>
        </r>
      </text>
    </comment>
    <comment ref="Q55" authorId="0" shapeId="0" xr:uid="{6F5B4019-CABE-4A4A-9801-B4E22DA305F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Ukrajina</t>
        </r>
      </text>
    </comment>
    <comment ref="S55" authorId="0" shapeId="0" xr:uid="{EDCB2B69-43F2-4A14-BBB8-9FDFDCD2F689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Včetně spotřeby loděnice
Celková spotřeba je 2x OM a odečíst Loděnici</t>
        </r>
      </text>
    </comment>
    <comment ref="Z55" authorId="0" shapeId="0" xr:uid="{8EB6E70C-DAEE-4A1C-9F4C-8CEEDBA12CCA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do 26/4 13,27594 MWh + házená do 31.12.2024 6,0458 MWh + ??????</t>
        </r>
      </text>
    </comment>
    <comment ref="AA55" authorId="0" shapeId="0" xr:uid="{D98F5D46-13F5-49A3-AFE4-F4745FF8EA9B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byt do 26.4.2025 5,8766 MWh
jacht do 26.4.2025 4,57946 MWh</t>
        </r>
      </text>
    </comment>
    <comment ref="AS55" authorId="0" shapeId="0" xr:uid="{EA0AECAE-CFED-4B59-8FF5-89522834F1B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Ukrajina</t>
        </r>
      </text>
    </comment>
    <comment ref="AT55" authorId="0" shapeId="0" xr:uid="{2EC10A95-0CF1-43F8-BF50-4183ABE1122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Ukrajina</t>
        </r>
      </text>
    </comment>
    <comment ref="S56" authorId="0" shapeId="0" xr:uid="{4F4596D5-96BF-4322-B088-AE44570A404E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P19+P5</t>
        </r>
      </text>
    </comment>
    <comment ref="S57" authorId="0" shapeId="0" xr:uid="{811C5C40-4331-4A8D-86F5-D676D23E5A2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Vyšší spotřeba, plné obsazení buňky pro údržbu</t>
        </r>
      </text>
    </comment>
    <comment ref="Z57" authorId="0" shapeId="0" xr:uid="{ACBCB095-8621-427B-96F7-EF25F1DD245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9/4</t>
        </r>
      </text>
    </comment>
    <comment ref="S58" authorId="0" shapeId="0" xr:uid="{9E8D2DF7-5982-4494-946F-16028EE36E7F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Výměna přmotopů</t>
        </r>
      </text>
    </comment>
    <comment ref="C64" authorId="0" shapeId="0" xr:uid="{3AD21AAC-0C5F-412A-9909-A50C5BC90F85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1 kg = 17,6 MJ
1 t = 4,888 MWh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Bc. Beránek Jan</author>
  </authors>
  <commentList>
    <comment ref="G4" authorId="0" shapeId="0" xr:uid="{E4467AF6-6A9B-407B-B6FC-4B2D05950617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…322 pro starou i novou budovu
…860 jen stará budova</t>
        </r>
      </text>
    </comment>
    <comment ref="E5" authorId="0" shapeId="0" xr:uid="{B0AA4A14-3535-4EFC-AB23-EA72693941B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Vodoměr v šachtě v komunikaci</t>
        </r>
      </text>
    </comment>
    <comment ref="O6" authorId="0" shapeId="0" xr:uid="{B8EBFFE8-BDFC-4276-9BBB-8116FAEB9F95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odhad, odečet neproveden</t>
        </r>
      </text>
    </comment>
    <comment ref="O7" authorId="0" shapeId="0" xr:uid="{D70EAF49-DE5D-429D-A574-2CEE1738DA9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odhad, odečet neproveden</t>
        </r>
      </text>
    </comment>
    <comment ref="E9" authorId="0" shapeId="0" xr:uid="{0410FDB6-E84D-4146-99BF-384772D9E4CF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Zbytek baráku, včetně podružného elektroměru plošina</t>
        </r>
      </text>
    </comment>
    <comment ref="E10" authorId="0" shapeId="0" xr:uid="{8906497D-B7CC-46A5-97B2-5575750C6C0B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Kožíšek, laboratoře, Kalinová</t>
        </r>
      </text>
    </comment>
    <comment ref="G12" authorId="0" shapeId="0" xr:uid="{612365FE-B2FB-4C1B-BC85-E75BE5E079C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20.1.2025 výměna 
č. 002705 1574,8 m3
č. 001713 0 m3</t>
        </r>
      </text>
    </comment>
    <comment ref="G15" authorId="0" shapeId="0" xr:uid="{E57D6585-692E-43FB-9392-5854DC8A9A30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21.1.2025 výměna
č. 002706 618,64 m3
č. 004701 557 m3</t>
        </r>
      </text>
    </comment>
    <comment ref="E16" authorId="0" shapeId="0" xr:uid="{027B1671-57DC-4715-9F5E-7EA0FF1BB36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Včetně kožní ordinace, dopravní služby a zkušebního komisaře, měřeno podružně</t>
        </r>
      </text>
    </comment>
    <comment ref="G16" authorId="0" shapeId="0" xr:uid="{50D7ECCA-CDD2-4219-8C66-6042EE0C40F2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25.4.2025 výměna měřidla
1370125956 5956 kWh
1605527 0 kWh</t>
        </r>
      </text>
    </comment>
    <comment ref="O16" authorId="0" shapeId="0" xr:uid="{5916CEDA-9F6B-4E0E-A6BE-B377134F8EBC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odhad, odečet neproveden</t>
        </r>
      </text>
    </comment>
    <comment ref="E17" authorId="0" shapeId="0" xr:uid="{3CA4E5EA-F91C-4577-81C7-27BA605F425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Záložní zdroj vytápění pro Městskou policii</t>
        </r>
      </text>
    </comment>
    <comment ref="E18" authorId="0" shapeId="0" xr:uid="{9B4D5A3C-BB7F-497F-A943-0F1FF561B2B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Včetně kožní ordinace, dopravní služby a zkušebního komisaře, rozpočteno</t>
        </r>
      </text>
    </comment>
    <comment ref="E19" authorId="0" shapeId="0" xr:uid="{BC23DD45-F237-4499-A5EF-7CF8D41BB43A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Včetně kožní ordinace, dopravní služby a zkušebního komisaře, rozpočteno</t>
        </r>
      </text>
    </comment>
    <comment ref="O19" authorId="0" shapeId="0" xr:uid="{FF855C95-A2AA-4BCC-8CB2-CF70A4DCA617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neproveden</t>
        </r>
      </text>
    </comment>
    <comment ref="E20" authorId="0" shapeId="0" xr:uid="{6D1F14CE-8BA6-43AC-A886-FC1759C71F7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Stacionář ŠANCE</t>
        </r>
      </text>
    </comment>
    <comment ref="G20" authorId="0" shapeId="0" xr:uid="{899A03E4-E0EB-4783-A414-5543706CCC8E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2.6.2025 výměna
3200004958 T1 161, T2 12897</t>
        </r>
      </text>
    </comment>
    <comment ref="E21" authorId="0" shapeId="0" xr:uid="{0AB5B9F4-47A8-4610-AC3D-EEC28892166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Stacionář ŠANCE</t>
        </r>
      </text>
    </comment>
    <comment ref="E22" authorId="0" shapeId="0" xr:uid="{3618EAC9-DF63-498E-9907-CAA0DCE18D99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Osvětlení</t>
        </r>
      </text>
    </comment>
    <comment ref="I23" authorId="0" shapeId="0" xr:uid="{1F80963C-E696-46CC-BE62-0FBDC7E3796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</t>
        </r>
      </text>
    </comment>
    <comment ref="O24" authorId="0" shapeId="0" xr:uid="{02C6577C-3B8B-4FCD-8B01-CDBB9E1259CF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odhad, odečet neproveden</t>
        </r>
      </text>
    </comment>
    <comment ref="E25" authorId="0" shapeId="0" xr:uid="{9E841D54-5529-49D5-97FE-F05DF3243BD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Odběrné místo ukončeno 31.12.2024, demontáž plynoměru 10.1.2025</t>
        </r>
      </text>
    </comment>
    <comment ref="H25" authorId="0" shapeId="0" xr:uid="{783A2D0F-1BD3-418F-91B2-0BB243CFF2B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Odběrné místo ukončeno 31.12.2024, demontáž plynoměru 10.1.2025</t>
        </r>
      </text>
    </comment>
    <comment ref="E26" authorId="0" shapeId="0" xr:uid="{BD06B87B-A5EA-4E0C-B4D9-86AFA967EDF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Společná předávací stanice v č.p. 805</t>
        </r>
      </text>
    </comment>
    <comment ref="E27" authorId="0" shapeId="0" xr:uid="{3CD7B5C7-7044-4303-80AC-B7B500FE83A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Převod na SVJ, máme pouze podružný vodoměr</t>
        </r>
      </text>
    </comment>
    <comment ref="F27" authorId="0" shapeId="0" xr:uid="{E6A5E366-99A8-479F-9CEE-EFC2300730C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Dříve odběrné místo 606021299</t>
        </r>
      </text>
    </comment>
    <comment ref="G27" authorId="0" shapeId="0" xr:uid="{E6783DC1-9F96-453F-A611-8372630F8D9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Dříve fakturační vodoměr 007084</t>
        </r>
      </text>
    </comment>
    <comment ref="H27" authorId="0" shapeId="0" xr:uid="{CB313CD3-ED55-41DB-BA04-5035A9708785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
</t>
        </r>
        <r>
          <rPr>
            <sz val="9"/>
            <color indexed="81"/>
            <rFont val="Tahoma"/>
            <family val="2"/>
            <charset val="238"/>
          </rPr>
          <t>Odhad</t>
        </r>
      </text>
    </comment>
    <comment ref="O27" authorId="0" shapeId="0" xr:uid="{9A67CD20-D6FC-4315-8FFF-FA0EB06553D2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odhad, odečet neproveden</t>
        </r>
      </text>
    </comment>
    <comment ref="O32" authorId="0" shapeId="0" xr:uid="{335CAEF7-4313-454D-89F1-FD2DE386288C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odhad, odečet neproveden</t>
        </r>
      </text>
    </comment>
    <comment ref="G34" authorId="0" shapeId="0" xr:uid="{AD8308F0-2A15-47A7-BA12-C75AB103B48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Výměna 24.1.2025
č. 1554066 32163 m3
č. 7021455 1 m3</t>
        </r>
      </text>
    </comment>
    <comment ref="O34" authorId="0" shapeId="0" xr:uid="{BA0C827C-4095-458B-809C-35B8D8FFBBEA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odhad, odečet neproveden</t>
        </r>
      </text>
    </comment>
    <comment ref="E37" authorId="0" shapeId="0" xr:uid="{0225DF8B-BA26-4BA5-866B-A59B24AC0D7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Elektřina podružně z THML, minimální odběr</t>
        </r>
      </text>
    </comment>
    <comment ref="O38" authorId="0" shapeId="0" xr:uid="{7D0CB846-1648-4E4B-8A66-F2C1693525C1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odhad, odečet neproveden</t>
        </r>
      </text>
    </comment>
    <comment ref="H40" authorId="0" shapeId="0" xr:uid="{5842E81F-3233-4202-AE1E-C9267F21784B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chybný vodoměr, nulový odběr, ve skutečnosti 371 m3</t>
        </r>
      </text>
    </comment>
    <comment ref="E41" authorId="0" shapeId="0" xr:uid="{6297308A-BD55-4D48-9E9D-FA72F0951B87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
</t>
        </r>
        <r>
          <rPr>
            <sz val="9"/>
            <color indexed="81"/>
            <rFont val="Tahoma"/>
            <family val="2"/>
            <charset val="238"/>
          </rPr>
          <t>Nájemce má svůj ZP</t>
        </r>
      </text>
    </comment>
    <comment ref="G64" authorId="0" shapeId="0" xr:uid="{932D88E9-FB1F-4BF3-BCC4-574C589B53A4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25.4.2025 výměna měřidla
č. 1370113153 615428 kWh
č. 1605528 2 kWh</t>
        </r>
      </text>
    </comment>
    <comment ref="F76" authorId="0" shapeId="0" xr:uid="{0080ED24-4B7D-4488-8A37-F5376E3E8F2E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
</t>
        </r>
        <r>
          <rPr>
            <sz val="9"/>
            <color indexed="81"/>
            <rFont val="Tahoma"/>
            <family val="2"/>
            <charset val="238"/>
          </rPr>
          <t>Administrativní budova</t>
        </r>
      </text>
    </comment>
    <comment ref="F79" authorId="0" shapeId="0" xr:uid="{14031E9F-009E-4FB7-AC35-CA4AD8E56EF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Hospoda a sál</t>
        </r>
      </text>
    </comment>
    <comment ref="G79" authorId="0" shapeId="0" xr:uid="{DE6EFF1D-3D9F-4359-B9FC-AE759D5D3C1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Výměna vodoměru 13.1.2025, nyní 031398, původně č. 002687 5598 m3
</t>
        </r>
      </text>
    </comment>
    <comment ref="G80" authorId="0" shapeId="0" xr:uid="{0B547C78-8080-481C-ADD4-1D33AC4DD42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31.1.2025 T1 215061, T2 38294</t>
        </r>
      </text>
    </comment>
    <comment ref="Q80" authorId="0" shapeId="0" xr:uid="{4E7B2572-5268-4C6B-9D05-CA1EE2BF449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odečet 5.6.2025</t>
        </r>
      </text>
    </comment>
    <comment ref="G81" authorId="0" shapeId="0" xr:uid="{FDF109C8-9DF1-4835-81E5-CAD82F4A211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31.1.2025 T1 215061, T2 38294</t>
        </r>
      </text>
    </comment>
    <comment ref="Q81" authorId="0" shapeId="0" xr:uid="{50BF86A9-BC53-4503-B238-9A2645F5CCB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odečet 5.6.2025</t>
        </r>
      </text>
    </comment>
    <comment ref="K87" authorId="0" shapeId="0" xr:uid="{A27BF5F4-25A8-4ED4-AFBD-BC38D4C9F626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Jan:
</t>
        </r>
        <r>
          <rPr>
            <sz val="9"/>
            <color indexed="81"/>
            <rFont val="Tahoma"/>
            <family val="2"/>
            <charset val="238"/>
          </rPr>
          <t>Podružný Flexim 2695 m3</t>
        </r>
      </text>
    </comment>
    <comment ref="M87" authorId="0" shapeId="0" xr:uid="{7451C4D4-C1FF-44CF-8D1E-29C6F875DA9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Podružný 2745 m3</t>
        </r>
      </text>
    </comment>
    <comment ref="O87" authorId="0" shapeId="0" xr:uid="{B6730526-03CB-46AB-9CAE-1CBBD7A2C90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podružný 2802 m3</t>
        </r>
      </text>
    </comment>
    <comment ref="Q87" authorId="0" shapeId="0" xr:uid="{7875BFC4-C56C-4364-98D2-3DC3AE5BD347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Flexim 2852</t>
        </r>
      </text>
    </comment>
    <comment ref="H88" authorId="0" shapeId="0" xr:uid="{5E8D5B0C-B509-4D3D-8FA4-EF4D20CABD4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 spotřeby</t>
        </r>
      </text>
    </comment>
    <comment ref="H89" authorId="0" shapeId="0" xr:uid="{CD22BB3A-D8F2-4C53-9888-23742F970F65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 spotřeby</t>
        </r>
      </text>
    </comment>
    <comment ref="H90" authorId="0" shapeId="0" xr:uid="{D800C9DE-CFE8-4C98-B8C8-1D2C152ABA8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 spotřeby</t>
        </r>
      </text>
    </comment>
    <comment ref="H91" authorId="0" shapeId="0" xr:uid="{222864F6-274D-4561-B7DC-49AB584F933A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 spotřeby</t>
        </r>
      </text>
    </comment>
    <comment ref="H92" authorId="0" shapeId="0" xr:uid="{57AD14F8-CF41-4935-817D-859834FDD287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neproveden, odhad dopočtem</t>
        </r>
      </text>
    </comment>
    <comment ref="O92" authorId="0" shapeId="0" xr:uid="{24042CB5-4265-4484-B477-5EBA1DE8128B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k 29.4.2025, změna dodavatele
1134,93 m3</t>
        </r>
      </text>
    </comment>
    <comment ref="G98" authorId="0" shapeId="0" xr:uid="{69AC1E60-D1A6-420E-9286-49243B30C76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Výměna 12.2.2025
002061  2926 m3
004727  776 m3</t>
        </r>
      </text>
    </comment>
    <comment ref="F102" authorId="0" shapeId="0" xr:uid="{2CFE7306-6F71-44E0-A07B-4750577C1777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škola</t>
        </r>
      </text>
    </comment>
    <comment ref="F103" authorId="0" shapeId="0" xr:uid="{02C258BC-21DF-4E2A-B3F9-FB1289182E5D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tělocvična</t>
        </r>
      </text>
    </comment>
    <comment ref="G103" authorId="0" shapeId="0" xr:uid="{A39E1B74-DEF9-422B-B13D-7E2D1B56C4B9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Výměna 15.1.2025
č. 007945 
č. 031779</t>
        </r>
      </text>
    </comment>
    <comment ref="E113" authorId="0" shapeId="0" xr:uid="{263DA76A-3AEC-4175-A329-BE3133BB705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Sborovna 2+1
</t>
        </r>
      </text>
    </comment>
    <comment ref="E114" authorId="0" shapeId="0" xr:uid="{55C27DBE-AFA8-42E6-99EF-3169D8C4AC2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Školník 1+1</t>
        </r>
      </text>
    </comment>
    <comment ref="E115" authorId="0" shapeId="0" xr:uid="{1AB6DB09-01EE-49A0-A34F-BEBC29EF2D0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Školník 1+1</t>
        </r>
      </text>
    </comment>
    <comment ref="E116" authorId="0" shapeId="0" xr:uid="{5491BC8E-0A6F-4166-8230-478070C6E6CA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Sborovna 2+1</t>
        </r>
      </text>
    </comment>
    <comment ref="G119" authorId="0" shapeId="0" xr:uid="{1220A98E-D321-4F33-ADF2-5F63120C9CF3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výměna elektroměru
č. 1020300911 100986 kWh
č. 1605608 0 kWh</t>
        </r>
      </text>
    </comment>
    <comment ref="E121" authorId="0" shapeId="0" xr:uid="{7441C674-A9C3-4ECF-B8DA-055240BEB83D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 29.4.2025 pod centrálním nákupem elektrické energie</t>
        </r>
      </text>
    </comment>
    <comment ref="E122" authorId="0" shapeId="0" xr:uid="{5B7E0C37-3A6D-4E84-9CF9-9963EF860EF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Hradí nájemce samostatným smluvním vztahem, v době neobsazení dočasaně přepsáno na město</t>
        </r>
      </text>
    </comment>
    <comment ref="E123" authorId="0" shapeId="0" xr:uid="{A3E99FDC-CFE1-4709-9723-2FF9A655066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Teplo pro celý objekt kromě WC s přímotopy</t>
        </r>
      </text>
    </comment>
    <comment ref="E124" authorId="0" shapeId="0" xr:uid="{60B5FE36-6597-4C1C-B045-9E799A10008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Voda pro celý objekt, WC, myčka, ZUŠ, Mozaika</t>
        </r>
      </text>
    </comment>
    <comment ref="G124" authorId="0" shapeId="0" xr:uid="{B15F0290-4045-487A-91D5-C1677A49282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20.1.2025 výměna
č. 002068 7446 m3
č. 001712 0m3</t>
        </r>
      </text>
    </comment>
    <comment ref="O125" authorId="0" shapeId="0" xr:uid="{981E22FB-94A6-41A9-8AB3-1BDECFB2D015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odhad, odečet neproveden</t>
        </r>
      </text>
    </comment>
    <comment ref="E128" authorId="0" shapeId="0" xr:uid="{18ADF6B1-19FF-4B26-9608-3BBFECAD974D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Veškeré energie a vodu si platí Gymnázium</t>
        </r>
      </text>
    </comment>
    <comment ref="O128" authorId="0" shapeId="0" xr:uid="{80807E02-F95C-4855-88FE-ACA55A08B72D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5.5.2025</t>
        </r>
      </text>
    </comment>
    <comment ref="Q128" authorId="0" shapeId="0" xr:uid="{85DC5D88-20C1-4509-BC56-D3CA417ECD84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3.6.2025</t>
        </r>
      </text>
    </comment>
    <comment ref="E129" authorId="0" shapeId="0" xr:uid="{B316CE77-8FD1-4B3B-875B-2CE45894B10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Veškeré energie a vodu si platí Gymnázium</t>
        </r>
      </text>
    </comment>
    <comment ref="O129" authorId="0" shapeId="0" xr:uid="{1A8D2A5E-FFA5-4EA0-93F0-DF9B58EE649F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5.5.2025</t>
        </r>
      </text>
    </comment>
    <comment ref="Q129" authorId="0" shapeId="0" xr:uid="{E67E9887-B62C-4DE0-8529-E8F980FB34C0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3.6.2025</t>
        </r>
      </text>
    </comment>
    <comment ref="E130" authorId="0" shapeId="0" xr:uid="{7D04A140-6C7C-4FB8-99F6-B17EAA8438A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Veškeré energie a vodu si platí Gymnázium</t>
        </r>
      </text>
    </comment>
    <comment ref="E131" authorId="0" shapeId="0" xr:uid="{4EBC09BD-8479-4253-BDAA-6E49791385B0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Veškeré energie a vodu si platí Gymnázium</t>
        </r>
      </text>
    </comment>
    <comment ref="G131" authorId="0" shapeId="0" xr:uid="{B4DBEF31-B5D5-4411-A24B-BCC05DE5EAC5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17.1.2025 výměna
č. 022051 6474 m3
č. 002500 9 m3</t>
        </r>
      </text>
    </comment>
    <comment ref="O131" authorId="0" shapeId="0" xr:uid="{A37B86E7-2661-4490-932C-0C65C86C83B0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5.5.2025</t>
        </r>
      </text>
    </comment>
    <comment ref="H135" authorId="0" shapeId="0" xr:uid="{375E89C5-B476-404D-AD2E-7725B9412C6A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Odečet neproveden, odhad</t>
        </r>
      </text>
    </comment>
    <comment ref="O135" authorId="0" shapeId="0" xr:uid="{FFA7356A-4B36-4DA0-9DED-7998048B33AE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odečet neproveden, odhad</t>
        </r>
      </text>
    </comment>
    <comment ref="E141" authorId="0" shapeId="0" xr:uid="{EC566366-0E0C-4002-A9E1-0EF7918ADE6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Odhadovaná spotřeba objektu je 10%, 90% je spotřeba technologií pro vytápění budov třetích osob, v tabulce je uváděna celková spotřeba</t>
        </r>
      </text>
    </comment>
    <comment ref="E144" authorId="0" shapeId="0" xr:uid="{4626A792-3125-46E1-ABB5-9C1DEF9F7F7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Vodu platí město</t>
        </r>
      </text>
    </comment>
    <comment ref="E147" authorId="0" shapeId="0" xr:uid="{CD93FB3F-60BC-4D1A-BABB-08D3B758F6C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Voda jen odhad, 90% spotřeby jde do č.p. 914</t>
        </r>
      </text>
    </comment>
    <comment ref="F148" authorId="0" shapeId="0" xr:uid="{683B93DC-3DD2-4D2C-83A3-79354399D71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Studna před AB</t>
        </r>
      </text>
    </comment>
    <comment ref="G149" authorId="0" shapeId="0" xr:uid="{3E0DB8CF-25A0-4AC8-B977-2844FFF5A40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6.1.2025 Výměna
93683224 1068804/315807
70148366 0/0</t>
        </r>
      </text>
    </comment>
    <comment ref="E151" authorId="0" shapeId="0" xr:uid="{1EB9E4AA-3CC6-4055-9929-4705411DD77A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Je na pozemku města, ale povolení na vrt má FCC BEC.</t>
        </r>
      </text>
    </comment>
    <comment ref="F151" authorId="0" shapeId="0" xr:uid="{C14EEED0-AF48-4862-B34E-9F518D56D4E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Vrt za montážní halou</t>
        </r>
      </text>
    </comment>
    <comment ref="E153" authorId="0" shapeId="0" xr:uid="{DFD730E1-3B31-457F-8D12-58E778B45581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Elektrodílna, sběrný dvůr, RE USE</t>
        </r>
      </text>
    </comment>
    <comment ref="I153" authorId="0" shapeId="0" xr:uid="{5C8634E4-6CC2-4AB1-BB11-DBD800D8FEC0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Odhad, nebyl proveden odečet</t>
        </r>
      </text>
    </comment>
    <comment ref="E154" authorId="0" shapeId="0" xr:uid="{759C7D7E-4516-4722-9336-1940C2B6935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Jen elektrodílna a sběrný dvůr. RE USE používá přímotop.</t>
        </r>
      </text>
    </comment>
    <comment ref="E155" authorId="0" shapeId="0" xr:uid="{9E9A4171-E40C-4DBD-A229-94D9FA5336D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RE USE bez vody</t>
        </r>
      </text>
    </comment>
    <comment ref="I155" authorId="0" shapeId="0" xr:uid="{44D2C104-B9A3-48BB-91AC-67CC2E304150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Odečet neproveden, odhad</t>
        </r>
      </text>
    </comment>
    <comment ref="I156" authorId="0" shapeId="0" xr:uid="{17651CCC-5595-40D5-B9AC-A089274B1D59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Odečet neproveden, odhad</t>
        </r>
      </text>
    </comment>
    <comment ref="G158" authorId="0" shapeId="0" xr:uid="{A0EAD7C8-A871-4C16-BC32-B39386F9157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21.1.2025 výměna
č. 034880 1237,6 m3
č. 031468 0 m3</t>
        </r>
      </text>
    </comment>
    <comment ref="I158" authorId="0" shapeId="0" xr:uid="{462A15A1-126E-4986-8751-FC8E8B82111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Odhad, nebyl proveden odečet</t>
        </r>
      </text>
    </comment>
    <comment ref="E161" authorId="0" shapeId="0" xr:uid="{6BF222C5-DEDC-4F9B-A188-674C24B2DEDD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Pouze vaření, nyní nepoužíváno</t>
        </r>
      </text>
    </comment>
    <comment ref="E162" authorId="0" shapeId="0" xr:uid="{A6AD6BAD-CF45-4516-9B36-2DE9E20966AD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Chemik včetně Tenisové klubovny, venku u Modly/umělá tráva</t>
        </r>
      </text>
    </comment>
    <comment ref="E163" authorId="0" shapeId="0" xr:uid="{E10756DA-189D-44F6-91E8-71C8E4FDB2B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Záložní vytápění, používáno minimálně</t>
        </r>
      </text>
    </comment>
    <comment ref="E167" authorId="0" shapeId="0" xr:uid="{13875EBD-45E3-4949-A91F-26F600CA261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Volejbal, VIP, posilovna 2, tenis</t>
        </r>
      </text>
    </comment>
    <comment ref="E168" authorId="0" shapeId="0" xr:uid="{43FFD7D2-CCDA-4107-967D-A1ECCDBB6216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Jan:
</t>
        </r>
        <r>
          <rPr>
            <sz val="9"/>
            <color indexed="81"/>
            <rFont val="Tahoma"/>
            <family val="2"/>
            <charset val="238"/>
          </rPr>
          <t>Nový elektroměr 16.4.2025 0 kWh</t>
        </r>
      </text>
    </comment>
    <comment ref="G168" authorId="0" shapeId="0" xr:uid="{D2E5BE27-842A-4DFB-8D9D-65DCAE921E3F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Nově instalováno 16.4.2025 12:45, výchozí stav 0,00 kWh</t>
        </r>
      </text>
    </comment>
    <comment ref="O168" authorId="0" shapeId="0" xr:uid="{D2B70964-8F33-418B-8956-0B2F48E4BE8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Měřeno od 16.4.2025</t>
        </r>
      </text>
    </comment>
    <comment ref="E169" authorId="0" shapeId="0" xr:uid="{1B89BE84-3F29-4353-A23E-1F8E3FD647E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Nutné instalovat nový podružný vodoměr</t>
        </r>
      </text>
    </comment>
    <comment ref="G169" authorId="0" shapeId="0" xr:uid="{33039797-0336-4BA4-86C3-3C009292F645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měřeno od 04/2025</t>
        </r>
      </text>
    </comment>
    <comment ref="E174" authorId="0" shapeId="0" xr:uid="{B976C3A8-3D86-4F86-8DFD-40357102C9E6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Hlavní elektroměr sportovního areálu</t>
        </r>
      </text>
    </comment>
    <comment ref="H177" authorId="0" shapeId="0" xr:uid="{C5F5CDDD-EB36-4101-B91A-1D3E0B963DF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Přetočený elektroměr</t>
        </r>
      </text>
    </comment>
    <comment ref="E178" authorId="0" shapeId="0" xr:uid="{BF2045FA-A322-4A7B-A0D8-4F50D2A07D4C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Zimní stadion, Hotel, Basket, kanceláře fotbal</t>
        </r>
      </text>
    </comment>
    <comment ref="F178" authorId="0" shapeId="0" xr:uid="{EE4C6485-D8A7-4762-953D-682642301C23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Hlavní přívod ZS</t>
        </r>
      </text>
    </comment>
    <comment ref="E181" authorId="0" shapeId="0" xr:uid="{730467D1-77C1-4DD6-BFE3-57436E21732E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ZS, hotel, zázemí fotbalu</t>
        </r>
      </text>
    </comment>
    <comment ref="G183" authorId="0" shapeId="0" xr:uid="{88981EF3-2C38-4490-9766-875A2769DE0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Výrobní číslo není vidět, jen typ</t>
        </r>
      </text>
    </comment>
    <comment ref="E186" authorId="0" shapeId="0" xr:uid="{97792FCC-C0A1-45FE-8CB6-3DDA27BF55F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Včetně spotřeby loděnice
Celková spotřeba je 2x OM a odečíst Loděnici</t>
        </r>
      </text>
    </comment>
    <comment ref="G186" authorId="0" shapeId="0" xr:uid="{223686C9-8D62-42E7-AA7C-8EA1DF95E571}">
      <text>
        <r>
          <rPr>
            <b/>
            <sz val="9"/>
            <color indexed="81"/>
            <rFont val="Tahoma"/>
            <charset val="1"/>
          </rPr>
          <t>Bc. Beránek Jan:</t>
        </r>
        <r>
          <rPr>
            <sz val="9"/>
            <color indexed="81"/>
            <rFont val="Tahoma"/>
            <charset val="1"/>
          </rPr>
          <t xml:space="preserve">
15.4.2025 výměna
č. 1020177482 103413 kWh
č. 1605595 o kWh</t>
        </r>
      </text>
    </comment>
    <comment ref="E191" authorId="0" shapeId="0" xr:uid="{09980D95-4B57-4A13-9C09-92E400D17097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
</t>
        </r>
        <r>
          <rPr>
            <sz val="9"/>
            <color indexed="81"/>
            <rFont val="Tahoma"/>
            <family val="2"/>
            <charset val="238"/>
          </rPr>
          <t>Samotný Jacht klub - Rybáři - Loděnice</t>
        </r>
      </text>
    </comment>
    <comment ref="G191" authorId="0" shapeId="0" xr:uid="{786CBE11-68DE-4B88-B9F2-D2F37D71FCC4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16.1.2025 výměna
č. 034996 1540 m3
č. 031385 0 m3</t>
        </r>
      </text>
    </comment>
    <comment ref="E196" authorId="0" shapeId="0" xr:uid="{1ABDB333-195E-4921-8C82-87C0E446405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Myslivecká, vodoměr nepřístupný, odečty domluvit s Hraničkou, sezonní napouštění bazánu, bez stočného</t>
        </r>
      </text>
    </comment>
    <comment ref="G196" authorId="0" shapeId="0" xr:uid="{5F4DD34E-A130-4A72-BD51-F5103D534D8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Není vidět výrobní číslo</t>
        </r>
      </text>
    </comment>
    <comment ref="E197" authorId="0" shapeId="0" xr:uid="{52552F2B-D3BB-4AE1-BEFA-90F44A248AB4}">
      <text>
        <r>
          <rPr>
            <b/>
            <sz val="9"/>
            <color indexed="81"/>
            <rFont val="Tahoma"/>
            <family val="2"/>
            <charset val="238"/>
          </rPr>
          <t xml:space="preserve">Bc. Beránek Jan:
</t>
        </r>
        <r>
          <rPr>
            <sz val="9"/>
            <color indexed="81"/>
            <rFont val="Tahoma"/>
            <family val="2"/>
            <charset val="238"/>
          </rPr>
          <t>Šatny, WC</t>
        </r>
      </text>
    </comment>
    <comment ref="G200" authorId="0" shapeId="0" xr:uid="{8C1C267A-F312-4AD2-867A-294AFBAF0F48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Výměna 7.2.2025
7651541 8513 m3
665896 1 m3</t>
        </r>
      </text>
    </comment>
    <comment ref="E201" authorId="0" shapeId="0" xr:uid="{BA7BAB01-AB59-4BB5-8D44-DB3F53283D4B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Veškerá spotřeba včetně hrobů, kancelář, kontejner a obřadní síň (nyní uzavřena)</t>
        </r>
      </text>
    </comment>
    <comment ref="I201" authorId="0" shapeId="0" xr:uid="{DF3135C9-28CC-4C7C-BDD8-D58E14C0A142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Vodoměr zatopen, odhad</t>
        </r>
      </text>
    </comment>
    <comment ref="I202" authorId="0" shapeId="0" xr:uid="{734B6AF4-18D9-44EB-AD94-554C98551427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Odečet neproveden, odhad</t>
        </r>
      </text>
    </comment>
    <comment ref="I203" authorId="0" shapeId="0" xr:uid="{7EF532A9-BDD5-49AA-954E-72CE59BDB95D}">
      <text>
        <r>
          <rPr>
            <b/>
            <sz val="9"/>
            <color indexed="81"/>
            <rFont val="Tahoma"/>
            <family val="2"/>
            <charset val="238"/>
          </rPr>
          <t>Bc. Beránek Jan:</t>
        </r>
        <r>
          <rPr>
            <sz val="9"/>
            <color indexed="81"/>
            <rFont val="Tahoma"/>
            <family val="2"/>
            <charset val="238"/>
          </rPr>
          <t xml:space="preserve">
Odečet neproveden, odhad</t>
        </r>
      </text>
    </comment>
  </commentList>
</comments>
</file>

<file path=xl/sharedStrings.xml><?xml version="1.0" encoding="utf-8"?>
<sst xmlns="http://schemas.openxmlformats.org/spreadsheetml/2006/main" count="1583" uniqueCount="771">
  <si>
    <t xml:space="preserve">	Školní 407/2, 410 02 Lovosice</t>
  </si>
  <si>
    <t>ZŠ Antonína Baráka</t>
  </si>
  <si>
    <t>Centrální školní jídelna</t>
  </si>
  <si>
    <t>Gymnázium Lovosice</t>
  </si>
  <si>
    <t>Všehrdova 924/3, 410 02 Lovosice</t>
  </si>
  <si>
    <t>administrativa</t>
  </si>
  <si>
    <t>Školní 406/4, 410 02 Lovosice</t>
  </si>
  <si>
    <t>ZŠ Všehrdova</t>
  </si>
  <si>
    <t>vzdělávání</t>
  </si>
  <si>
    <t>stravování</t>
  </si>
  <si>
    <t>ZŠ Sady Pionýrů</t>
  </si>
  <si>
    <t>Všehrdova 686/1, 410 02 Lovosice</t>
  </si>
  <si>
    <t>Sady pionýrů 600/6, 410 02 Lovosice</t>
  </si>
  <si>
    <t>Osvoboditelů 50/59, 410 02 Lovosice</t>
  </si>
  <si>
    <t>K. Maličkého 382/16, 410 02 Lovosice</t>
  </si>
  <si>
    <t>MŠ Resslova</t>
  </si>
  <si>
    <t>MŠ Terezínská</t>
  </si>
  <si>
    <t>Stará radnice</t>
  </si>
  <si>
    <t>Školní 41/1, 410 02 Lovosice</t>
  </si>
  <si>
    <t>Lékařský dům</t>
  </si>
  <si>
    <t>Pfannschmidtova vila</t>
  </si>
  <si>
    <t>Školní 476/3, 410 02 Lovosice</t>
  </si>
  <si>
    <t>Osvoboditelů 48/55, 410 02 Lovosice</t>
  </si>
  <si>
    <t>zdravotnictví</t>
  </si>
  <si>
    <t>sociální zařízení</t>
  </si>
  <si>
    <t>Ubytovna Nádražní</t>
  </si>
  <si>
    <t>Nádražní 1302, 410 02 Lovosice</t>
  </si>
  <si>
    <t>Školní družina</t>
  </si>
  <si>
    <t>Školní 470/7, 410 02 Lovosice</t>
  </si>
  <si>
    <t>bydlení</t>
  </si>
  <si>
    <t>-</t>
  </si>
  <si>
    <t>Obřadní smuteční síň</t>
  </si>
  <si>
    <t>Veřejné WC</t>
  </si>
  <si>
    <t>Přívozní 1036/9, 410 02 Lovosice</t>
  </si>
  <si>
    <t>Sady pionýrů 912/43, 410 02 Lovosice</t>
  </si>
  <si>
    <t>Sady pionýrů 355/2, 410 02 Lovosice</t>
  </si>
  <si>
    <t>8. května, 155/13, 410 02 Lovosice</t>
  </si>
  <si>
    <t>Resslova 974/1, 410 02 Lovosice</t>
  </si>
  <si>
    <t>Sady pionýrů 361/4, 410 02 Lovosice</t>
  </si>
  <si>
    <t>sport</t>
  </si>
  <si>
    <t>Nej.cz</t>
  </si>
  <si>
    <t>Osvoboditelů 109/12, 410 02 Lovosice</t>
  </si>
  <si>
    <t>Žižkova 156 a 193, 410 02 Lovosice</t>
  </si>
  <si>
    <t>Prosmyky 88/2, 410 02 Lovosice</t>
  </si>
  <si>
    <t>Terezínská 1123, 410 02 Lovosice</t>
  </si>
  <si>
    <t>ubytování</t>
  </si>
  <si>
    <t>Hala Chemik, krytý bazén</t>
  </si>
  <si>
    <t>Hala Chemik, házená</t>
  </si>
  <si>
    <t>Hala Chemik, restaurace</t>
  </si>
  <si>
    <t>obřadnictví</t>
  </si>
  <si>
    <t>veřejné WC</t>
  </si>
  <si>
    <t>skladování</t>
  </si>
  <si>
    <t>Přívozní 1025/5, 410 02 Lovosice</t>
  </si>
  <si>
    <t>Koupaliště</t>
  </si>
  <si>
    <t>Městská policie</t>
  </si>
  <si>
    <t>Teplická 1156, 410 02 Lovosice</t>
  </si>
  <si>
    <t>Mírová bez č.p., 410 02 Lovosice</t>
  </si>
  <si>
    <t>Resslova bez č.p., 410 02 Lovosice</t>
  </si>
  <si>
    <t>Žižkova bez č.p., 410 02 Lovosice</t>
  </si>
  <si>
    <t>Žižkova 1122, 410 02 Lovosice</t>
  </si>
  <si>
    <t>Terezínská 1027/51, 410 02 Lovosice</t>
  </si>
  <si>
    <t>Hala Chemik, přístavba VIP</t>
  </si>
  <si>
    <t>U stadionu 1022/2, 410 02 Lovosice</t>
  </si>
  <si>
    <t>dílny, garáže</t>
  </si>
  <si>
    <t>28. října bez č.p., 410 02 Lovosice</t>
  </si>
  <si>
    <t>28. října 1200/5, 410 02 Lovosice</t>
  </si>
  <si>
    <t>energetika</t>
  </si>
  <si>
    <t>Ing. Ondřej Kounovský, 773 686 481, reditel@kclovos.cz</t>
  </si>
  <si>
    <t>Kontakty na odpovědné osoby</t>
  </si>
  <si>
    <t>Mgr., Bc. Petra Dolejší, 732 444 597, zuslovosice@zuslovosice.cz</t>
  </si>
  <si>
    <t>Pavel Merkl, 603 891 651, pavel.merkl@meulovo.cz</t>
  </si>
  <si>
    <t>Jana Dreieckerová, 416 536 674, vedouci@jidelna.net</t>
  </si>
  <si>
    <t>Ing. Stanislav Hruza, MBA, 739 372 539, reditel@tslovosice.cz</t>
  </si>
  <si>
    <t xml:space="preserve">Ing. Martin Macháček, 777 110 176 , thred@lovosice.com </t>
  </si>
  <si>
    <t>Mgr. Pawel Szymański,  736 113 863, reditel@ssmlovo.cz</t>
  </si>
  <si>
    <t>Mgr. Jarmila Višňovcová, 734 428 694, 1zslovo@iol.cz</t>
  </si>
  <si>
    <t>Mgr. Monika Zemanová, 777 404 836, zemanova@zsvsehrdova.cz</t>
  </si>
  <si>
    <t>Ivana Lahovská, 731 565 879, msukonicka@seznam.cz</t>
  </si>
  <si>
    <t>Hala Chemik, přetlaková hala</t>
  </si>
  <si>
    <t>Hala Chemik, zázemí volejbalu</t>
  </si>
  <si>
    <t>Mgr. Marek Bušek, 778 460 037, busekm@gymlovo.cz</t>
  </si>
  <si>
    <t>Mgr. Daniela Deusová, 416 532 265, daniela.deusova@zsabaraka.cz</t>
  </si>
  <si>
    <t>Číslo</t>
  </si>
  <si>
    <t xml:space="preserve">Adresa </t>
  </si>
  <si>
    <t>Účel, využití</t>
  </si>
  <si>
    <t>Název objektu</t>
  </si>
  <si>
    <t>Poznámka</t>
  </si>
  <si>
    <t>Kanceláře, restaurace fotbal</t>
  </si>
  <si>
    <t>KPS 270 kW</t>
  </si>
  <si>
    <t>KPS 250 kW</t>
  </si>
  <si>
    <t>KPS 360 kW</t>
  </si>
  <si>
    <t>KPS 220 kW</t>
  </si>
  <si>
    <t>24 kW ZP</t>
  </si>
  <si>
    <t>Martin Bůžek, 416 724 111, martin.buzek@fcc-group.cz</t>
  </si>
  <si>
    <t>EVP do 250 m2</t>
  </si>
  <si>
    <t>KPS 300 kW společná pro Lékařský dům</t>
  </si>
  <si>
    <t>KPS 60 kW</t>
  </si>
  <si>
    <t>KPS 285 kW</t>
  </si>
  <si>
    <t>KPS 300 kW</t>
  </si>
  <si>
    <t>KPS 350 kW</t>
  </si>
  <si>
    <t>KPS 130 kW</t>
  </si>
  <si>
    <t>KPS 150 kW</t>
  </si>
  <si>
    <t>Zimní stadion a zázemí fotbalu</t>
  </si>
  <si>
    <t>Hala Chemik, posilovna č. 1</t>
  </si>
  <si>
    <t>KPS 120 kW společná pro VIP, posilovnu č. 2, volejbal a tenis</t>
  </si>
  <si>
    <r>
      <t>EVP m</t>
    </r>
    <r>
      <rPr>
        <b/>
        <i/>
        <vertAlign val="superscript"/>
        <sz val="10"/>
        <color theme="0"/>
        <rFont val="Calibri"/>
        <family val="2"/>
        <charset val="238"/>
      </rPr>
      <t>2</t>
    </r>
  </si>
  <si>
    <r>
      <t>EVP do 250 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, KPS 120 kW společná pro VIP, posilovnu č. 2, volejbal a tenis, pronájem</t>
    </r>
  </si>
  <si>
    <t>Hala Chemik, admin. budova</t>
  </si>
  <si>
    <t>2x ZP 24 kW + KPS 60 kW</t>
  </si>
  <si>
    <t>ZP Wiessmann 170 kW, teoretická potřeba 28 kW</t>
  </si>
  <si>
    <t>KPS 1 150 kW společná pro házenou, krytý bazén, restauraci, posilovnu č. 1 a administrativní budovu</t>
  </si>
  <si>
    <t>42 kW ZP, 4x 16,5 kW + 1x 23,5 kW ZP zářiče</t>
  </si>
  <si>
    <t>ZP 24 + 28 kW</t>
  </si>
  <si>
    <t>Provozní režim</t>
  </si>
  <si>
    <t>Počty osob</t>
  </si>
  <si>
    <t>27,00+17,00</t>
  </si>
  <si>
    <t>26+15K+sál</t>
  </si>
  <si>
    <t>16+30K</t>
  </si>
  <si>
    <t>10+40K</t>
  </si>
  <si>
    <t>10+20K</t>
  </si>
  <si>
    <t>19+115K</t>
  </si>
  <si>
    <t>17+97K</t>
  </si>
  <si>
    <t>54+437K</t>
  </si>
  <si>
    <t>28+228K</t>
  </si>
  <si>
    <t>25+384K</t>
  </si>
  <si>
    <t>3+84K</t>
  </si>
  <si>
    <t>26K</t>
  </si>
  <si>
    <t>2+96K</t>
  </si>
  <si>
    <t>7+260K</t>
  </si>
  <si>
    <t>6+50K</t>
  </si>
  <si>
    <t>3+40K víkendy</t>
  </si>
  <si>
    <t>15K</t>
  </si>
  <si>
    <t>1+800K, max 1100</t>
  </si>
  <si>
    <t>30, max 200</t>
  </si>
  <si>
    <t>150, max 2200</t>
  </si>
  <si>
    <t>350, max 800</t>
  </si>
  <si>
    <t>nepravidelně</t>
  </si>
  <si>
    <t>1+1K</t>
  </si>
  <si>
    <t>MŠ Sady Pionýrů</t>
  </si>
  <si>
    <t>1+93+10</t>
  </si>
  <si>
    <t>Po-Ne 0-24</t>
  </si>
  <si>
    <t>Po-Pá 6:30-16:00</t>
  </si>
  <si>
    <t>6+40K</t>
  </si>
  <si>
    <t>Po-Pá 7-18</t>
  </si>
  <si>
    <t>Po-Pá 5:30-17:00</t>
  </si>
  <si>
    <t>Po-Pá 6:30-17:00</t>
  </si>
  <si>
    <t>Po-Pá 6:30-18:00</t>
  </si>
  <si>
    <t>Po-Pá 7-17</t>
  </si>
  <si>
    <t>Bytový dům Karla Maličkého</t>
  </si>
  <si>
    <t>Po-Pá 6-16</t>
  </si>
  <si>
    <t>Po-Pá 5:45-15:30</t>
  </si>
  <si>
    <t>Po-Pá 6-17</t>
  </si>
  <si>
    <t>42+368K</t>
  </si>
  <si>
    <t>Hotel Active Stadium</t>
  </si>
  <si>
    <t>Po-Pá 5:45-16:30</t>
  </si>
  <si>
    <t>67+545K</t>
  </si>
  <si>
    <t>15+23K</t>
  </si>
  <si>
    <t>červen-srpen 9-19</t>
  </si>
  <si>
    <t>Po-Ne 6-22</t>
  </si>
  <si>
    <t>Po-Pá 6-16, So-Ne 14-22</t>
  </si>
  <si>
    <t>letní sez. Po-Ne 12-20</t>
  </si>
  <si>
    <t>letní sez., nepravidelně</t>
  </si>
  <si>
    <t>Po-Pá 13-21 + zimní sez. Ne 7-21</t>
  </si>
  <si>
    <t>Po-Pá 6-18</t>
  </si>
  <si>
    <t>Po-Pá 6-22, So-Ne 7-18</t>
  </si>
  <si>
    <t>nepravidelně Po-Pá 8-20</t>
  </si>
  <si>
    <t>nepravidelně So-Ne 8-20</t>
  </si>
  <si>
    <t>Po-P 6-22, So 7-18</t>
  </si>
  <si>
    <t>Po-Pá 6:00-15:30, občas pohotovost</t>
  </si>
  <si>
    <t>Po-Čt 7:30-18:00, Pá 7:30-14:00, So-Ne 8:30-13:00</t>
  </si>
  <si>
    <t>Po-Ne 7-21</t>
  </si>
  <si>
    <t>Po-So 7-21:30, Ne 8-17:30</t>
  </si>
  <si>
    <t>Po-Pá  6-15</t>
  </si>
  <si>
    <t>Po-Pá 7-15, občas víkendy</t>
  </si>
  <si>
    <t>Po-Pá 6-17, So 8-13</t>
  </si>
  <si>
    <t>Po-Pá 5:30-15:30, občas So-Ne 6-14:30</t>
  </si>
  <si>
    <t>Po-Pá 7-15:30, občas So 7-15:30</t>
  </si>
  <si>
    <t>Po-Pá 6-19, občas víkend, viz komentář</t>
  </si>
  <si>
    <t>Út-Ne 13-22</t>
  </si>
  <si>
    <t>14+45K, max 115</t>
  </si>
  <si>
    <t>Kotelna K 20</t>
  </si>
  <si>
    <t>Kotelna K 7</t>
  </si>
  <si>
    <t>Kotelna K 6</t>
  </si>
  <si>
    <t>Areál TSML, dílna, garáže</t>
  </si>
  <si>
    <t>Areál TSML, sběrný dvůr, RE USE</t>
  </si>
  <si>
    <t>PENB na halu není potřeba, dílenský provoz pod 195 MWh, §7, odst. 5, písmeno a)</t>
  </si>
  <si>
    <t>Základní umělecká škola</t>
  </si>
  <si>
    <t>Město Lovosice</t>
  </si>
  <si>
    <t>ELKO Dům dětí a mládeže</t>
  </si>
  <si>
    <t>Kotelna K 16a, velín THML s.r.o.</t>
  </si>
  <si>
    <t>Sídlo THML s.r.o.</t>
  </si>
  <si>
    <t>Městský úřad 407/2</t>
  </si>
  <si>
    <t>Městský úřad, nová přístavba</t>
  </si>
  <si>
    <t>Městský úřad 406/4</t>
  </si>
  <si>
    <t>Centrum kultury Lovoš</t>
  </si>
  <si>
    <t>Podnik technických služeb Lovosice s.r.o.</t>
  </si>
  <si>
    <t>Tepelné hospodářství města Lovosic s.r.o.</t>
  </si>
  <si>
    <t>Sociální služby města Lovosice p.o.</t>
  </si>
  <si>
    <t>PTS administrativní budova</t>
  </si>
  <si>
    <t>PTS sociální zázemí</t>
  </si>
  <si>
    <t>PTS montážní hala</t>
  </si>
  <si>
    <t>sociální zázemí/sklad</t>
  </si>
  <si>
    <t>administrativa/zdravotnictví</t>
  </si>
  <si>
    <t>bezpečnost/administrativa/zdravotnictví</t>
  </si>
  <si>
    <t>Po 6-18, Út 6-16, St 6-18, Čt 6-16, Pá 6-14:30</t>
  </si>
  <si>
    <t>vzdělávání/obchod</t>
  </si>
  <si>
    <t>administrativa/obchod</t>
  </si>
  <si>
    <t>bydlení/sociální zařízení</t>
  </si>
  <si>
    <t>knihovna/ informační centrum</t>
  </si>
  <si>
    <t>administrativa/dílna</t>
  </si>
  <si>
    <t>Technické služby města Lovosice p.o.</t>
  </si>
  <si>
    <t>Tenisová klubovna</t>
  </si>
  <si>
    <t>Basketbalová hala Přívozní</t>
  </si>
  <si>
    <t>Jacht klub</t>
  </si>
  <si>
    <t>3/2</t>
  </si>
  <si>
    <t>administrativa/sociální zázemí</t>
  </si>
  <si>
    <t>administrativa/stravování/ubytování</t>
  </si>
  <si>
    <t>Prosmyky 89/1, 410 02 Lovosice</t>
  </si>
  <si>
    <t>Po-Pá 5:30-15:30</t>
  </si>
  <si>
    <t>KPS umístěná ve Staré radnici</t>
  </si>
  <si>
    <t>KPS 40 kW + ZP 24 kW</t>
  </si>
  <si>
    <t>Komerčně pronajímáno, EK 21 kW + ZP 20 kW + Ezář 2,2 kW</t>
  </si>
  <si>
    <t>KPS 270 kW společná pro bytový dům</t>
  </si>
  <si>
    <t>Komerčně pronajímáno, ZP 54,7 kW</t>
  </si>
  <si>
    <t>Komerčně pronajímáno, AKU 7 kW + 3x ZP ELKO + 1x ZP Junák + 1x ZP Zverimex, celkem ZP 130 kW</t>
  </si>
  <si>
    <t>KPS 130 kW společná pro oba DPS</t>
  </si>
  <si>
    <t>KPS v 474 a 475</t>
  </si>
  <si>
    <t>PENB spolu se ZUŠ, přímotopy 6 kW</t>
  </si>
  <si>
    <t>KPS 490 kW společná pro zimní stadion</t>
  </si>
  <si>
    <t>KPS v hotelu</t>
  </si>
  <si>
    <r>
      <t>EVP do 250 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, Junkers ZWR24 7KE 24 kW od 2024</t>
    </r>
  </si>
  <si>
    <t>Carborobot PV300 290 kW pro všechny tři objekty</t>
  </si>
  <si>
    <t>Chybí izolace větve pro AB</t>
  </si>
  <si>
    <t xml:space="preserve">Mgr. Lucie Beránková, 736 633 345, mssady@mssadylovo.cz </t>
  </si>
  <si>
    <t>Vytápěná podlaží</t>
  </si>
  <si>
    <t>Václavské náměstí 176, 177, 178, 410 02 Lovosice</t>
  </si>
  <si>
    <t>2/1/1</t>
  </si>
  <si>
    <t>Terezínská 907/42, 410 02 Lovosice</t>
  </si>
  <si>
    <t>2/1</t>
  </si>
  <si>
    <t>28. října 474/7 a 475/9, 410 02 Lovosice</t>
  </si>
  <si>
    <t>Prosmyky bez č.p., 410 02 Lovosice</t>
  </si>
  <si>
    <t>Zámecká 1174, 410 02 Lovosice</t>
  </si>
  <si>
    <t>Veřejné osvětlení</t>
  </si>
  <si>
    <t>Komerčně pronajímáno, příležitostné vytápění, energie platí nájemce</t>
  </si>
  <si>
    <t>Nevytápěno, minimální spotřeba energie</t>
  </si>
  <si>
    <t>Teplická bez č.p., p.č. 2213, 410 02 Lovosice</t>
  </si>
  <si>
    <t>Přívozní bez č.p., p.č. 979/2, 410 02 Lovosice</t>
  </si>
  <si>
    <t>Přívozní bez č.p., p.č. 986/3, 410 02 Lovosice</t>
  </si>
  <si>
    <t>Přívozní bez č.p., p.č. 980, 410 02 Lovosice</t>
  </si>
  <si>
    <t>Zámecká bez č.p., p.č. 972/3, 410 02 Lovosice</t>
  </si>
  <si>
    <t>Terezínská bez č.p., p.č. 974/3, 410 02 Lovosice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</si>
  <si>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</si>
  <si>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</si>
  <si>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</si>
  <si>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</si>
  <si>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</si>
  <si>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</si>
  <si>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</si>
  <si>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</si>
  <si>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</si>
  <si>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</si>
  <si>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</si>
  <si>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</si>
  <si>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</si>
  <si>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</si>
  <si>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</si>
  <si>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</si>
  <si>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</si>
  <si>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</si>
  <si>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</si>
  <si>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</si>
  <si>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</si>
  <si>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</si>
  <si>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</si>
  <si>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</si>
  <si>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</si>
  <si>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</si>
  <si>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</si>
  <si>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</si>
  <si>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</si>
  <si>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</si>
  <si>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</si>
  <si>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</si>
  <si>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</si>
  <si>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</si>
  <si>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</si>
  <si>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</si>
  <si>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</si>
  <si>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</si>
  <si>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r>
      <t>Vytápěná dílna do 250 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, cca 65 kW, zbytek sklad</t>
    </r>
  </si>
  <si>
    <t xml:space="preserve">Vytápěné kanceláře, cca 20 kW, sklad, napojeno na blokovou KPS </t>
  </si>
  <si>
    <t>Samostatná KPS 270 kW</t>
  </si>
  <si>
    <t>Nevytápěno</t>
  </si>
  <si>
    <t>173,2+480,5</t>
  </si>
  <si>
    <t>Hala Chemik, posilovna č. 2</t>
  </si>
  <si>
    <t>veřejné osvětlení</t>
  </si>
  <si>
    <t>administrativa/kultura</t>
  </si>
  <si>
    <t>dílna/sklad</t>
  </si>
  <si>
    <t>Hřbitov, kancelář, zázemí</t>
  </si>
  <si>
    <t>Vytápění</t>
  </si>
  <si>
    <t>CZT</t>
  </si>
  <si>
    <t>CZT, AC</t>
  </si>
  <si>
    <t>E</t>
  </si>
  <si>
    <t>ZP, E</t>
  </si>
  <si>
    <t>ZP</t>
  </si>
  <si>
    <t>nevytápěno</t>
  </si>
  <si>
    <t>CZT, ZP</t>
  </si>
  <si>
    <t>Pevná paliva</t>
  </si>
  <si>
    <t>CZT, ZP, AC</t>
  </si>
  <si>
    <t>Celkem</t>
  </si>
  <si>
    <t>Elektrická energie MWh</t>
  </si>
  <si>
    <t>Zemní plyn MWh</t>
  </si>
  <si>
    <t>Teplo GJ</t>
  </si>
  <si>
    <t>Pevná paliva MWh</t>
  </si>
  <si>
    <t>Voda m3</t>
  </si>
  <si>
    <t>SSML 474, 745</t>
  </si>
  <si>
    <t>SSML 1200</t>
  </si>
  <si>
    <t>CK Lovoš, sál</t>
  </si>
  <si>
    <t>CK Lovoš, Lovo Café</t>
  </si>
  <si>
    <t>kultura</t>
  </si>
  <si>
    <t>CK Lovoš, admin. budova</t>
  </si>
  <si>
    <t>50K</t>
  </si>
  <si>
    <t>12/2024</t>
  </si>
  <si>
    <t>1/2025</t>
  </si>
  <si>
    <t>2/2025</t>
  </si>
  <si>
    <t>3/2025</t>
  </si>
  <si>
    <t>4/2025</t>
  </si>
  <si>
    <t>5/2025</t>
  </si>
  <si>
    <t>6/2025</t>
  </si>
  <si>
    <t>7/2025</t>
  </si>
  <si>
    <t>8/2025</t>
  </si>
  <si>
    <t>9/2025</t>
  </si>
  <si>
    <t>10/2025</t>
  </si>
  <si>
    <t>11/2025</t>
  </si>
  <si>
    <t>12/2025</t>
  </si>
  <si>
    <t>Číslo měřidla</t>
  </si>
  <si>
    <t>Medium</t>
  </si>
  <si>
    <t>V</t>
  </si>
  <si>
    <t>859182400402307122</t>
  </si>
  <si>
    <t>1570243482</t>
  </si>
  <si>
    <t>859182400402307047</t>
  </si>
  <si>
    <t>1025977667</t>
  </si>
  <si>
    <t>TE</t>
  </si>
  <si>
    <t>859182400402262339</t>
  </si>
  <si>
    <t>27ZG400Z0303457G</t>
  </si>
  <si>
    <t>27ZG400Z03040342</t>
  </si>
  <si>
    <t>27ZG400Z03040350</t>
  </si>
  <si>
    <t>7309808</t>
  </si>
  <si>
    <t>EE VT</t>
  </si>
  <si>
    <t>859182400400006034</t>
  </si>
  <si>
    <t>1780029100</t>
  </si>
  <si>
    <t>859182400402307184</t>
  </si>
  <si>
    <t>44569766</t>
  </si>
  <si>
    <t>859182400402307191</t>
  </si>
  <si>
    <t>1022556074</t>
  </si>
  <si>
    <t>009500</t>
  </si>
  <si>
    <t>004883</t>
  </si>
  <si>
    <t>Odběrné místo EAN/EIC/OM</t>
  </si>
  <si>
    <t>001713</t>
  </si>
  <si>
    <t>001712</t>
  </si>
  <si>
    <t>002500</t>
  </si>
  <si>
    <t>031468</t>
  </si>
  <si>
    <t>004701</t>
  </si>
  <si>
    <t>EE NT</t>
  </si>
  <si>
    <t>71887602</t>
  </si>
  <si>
    <t>859182400402304053</t>
  </si>
  <si>
    <t>000892</t>
  </si>
  <si>
    <t>859182400400046153   </t>
  </si>
  <si>
    <t xml:space="preserve">1023208615  </t>
  </si>
  <si>
    <t>859182400402306880   </t>
  </si>
  <si>
    <t xml:space="preserve">1020300911  </t>
  </si>
  <si>
    <t>Bez čísla</t>
  </si>
  <si>
    <t>11142192</t>
  </si>
  <si>
    <t>1880118998</t>
  </si>
  <si>
    <t>859182400402306422</t>
  </si>
  <si>
    <t>1022561038</t>
  </si>
  <si>
    <t>014228</t>
  </si>
  <si>
    <t>859182400402306439</t>
  </si>
  <si>
    <t>84000610</t>
  </si>
  <si>
    <t>606014321</t>
  </si>
  <si>
    <t>EE</t>
  </si>
  <si>
    <t>27ZG400Z03193401</t>
  </si>
  <si>
    <t>27ZG400Z0032519S</t>
  </si>
  <si>
    <t>27ZG400Z0291825D</t>
  </si>
  <si>
    <t>27ZG400Z0300870N</t>
  </si>
  <si>
    <t>27ZG400Z0301848B</t>
  </si>
  <si>
    <t>27ZG400Z0303456I</t>
  </si>
  <si>
    <t>27ZG400Z0296556Q</t>
  </si>
  <si>
    <t>27ZG400Z0290010Q</t>
  </si>
  <si>
    <t>27ZG400Z0289995S</t>
  </si>
  <si>
    <t>12633203</t>
  </si>
  <si>
    <t>23695639</t>
  </si>
  <si>
    <t>606014465</t>
  </si>
  <si>
    <t>606014319</t>
  </si>
  <si>
    <t>014965</t>
  </si>
  <si>
    <t>859182400402306415</t>
  </si>
  <si>
    <t>859182400402309102</t>
  </si>
  <si>
    <t>859182400400988484</t>
  </si>
  <si>
    <t>859182400400988491</t>
  </si>
  <si>
    <t>51013145</t>
  </si>
  <si>
    <t>1025986028</t>
  </si>
  <si>
    <t>859182400402305883</t>
  </si>
  <si>
    <t>1021226912</t>
  </si>
  <si>
    <t>15360</t>
  </si>
  <si>
    <t>81</t>
  </si>
  <si>
    <t>606014288</t>
  </si>
  <si>
    <t>859182400402306903</t>
  </si>
  <si>
    <t>859182400402306927</t>
  </si>
  <si>
    <t>859182400402306934</t>
  </si>
  <si>
    <t>606021311</t>
  </si>
  <si>
    <t>003067</t>
  </si>
  <si>
    <t>13241343</t>
  </si>
  <si>
    <t>1022615232</t>
  </si>
  <si>
    <t>1022617565</t>
  </si>
  <si>
    <t>1022196218</t>
  </si>
  <si>
    <t>859182400402303179</t>
  </si>
  <si>
    <t>42586032</t>
  </si>
  <si>
    <t>606014488</t>
  </si>
  <si>
    <t>859182400402308143</t>
  </si>
  <si>
    <t>606014423</t>
  </si>
  <si>
    <t>120</t>
  </si>
  <si>
    <t>22</t>
  </si>
  <si>
    <t>606014291</t>
  </si>
  <si>
    <t>606014277</t>
  </si>
  <si>
    <t>020102</t>
  </si>
  <si>
    <t>1021242105</t>
  </si>
  <si>
    <t>MVE Lovosice a.s.</t>
  </si>
  <si>
    <t>859182400402308730</t>
  </si>
  <si>
    <t>859182400402262124</t>
  </si>
  <si>
    <t>859182400402262445</t>
  </si>
  <si>
    <t>15703117325</t>
  </si>
  <si>
    <t>102603503</t>
  </si>
  <si>
    <t>1023269422</t>
  </si>
  <si>
    <t>606021049</t>
  </si>
  <si>
    <t>003200</t>
  </si>
  <si>
    <t>27ZG400Z02782725</t>
  </si>
  <si>
    <t>27ZG400Z0302879W</t>
  </si>
  <si>
    <t>13783435</t>
  </si>
  <si>
    <t>2426328</t>
  </si>
  <si>
    <t>27ZG400Z0311744H</t>
  </si>
  <si>
    <t>5388873</t>
  </si>
  <si>
    <t>27ZG400Z0291817C</t>
  </si>
  <si>
    <t>5388980</t>
  </si>
  <si>
    <t>27ZG400Z0311747B</t>
  </si>
  <si>
    <t>1236</t>
  </si>
  <si>
    <t>27ZG400Z0297554P</t>
  </si>
  <si>
    <t>40985</t>
  </si>
  <si>
    <t>3134046</t>
  </si>
  <si>
    <t>6989968</t>
  </si>
  <si>
    <t>6893400</t>
  </si>
  <si>
    <t>Jacht klub byt</t>
  </si>
  <si>
    <t>859182400400980402</t>
  </si>
  <si>
    <t>859182400402306811</t>
  </si>
  <si>
    <t>859182400402263244</t>
  </si>
  <si>
    <t>859182400402263220</t>
  </si>
  <si>
    <t>859182400400055438</t>
  </si>
  <si>
    <t>859182400402306019</t>
  </si>
  <si>
    <t>27ZG400Z02911610</t>
  </si>
  <si>
    <t>2080243606</t>
  </si>
  <si>
    <t>1026613461</t>
  </si>
  <si>
    <t>1025247389</t>
  </si>
  <si>
    <t>859182400402264920</t>
  </si>
  <si>
    <t>690085559</t>
  </si>
  <si>
    <t>1570244379</t>
  </si>
  <si>
    <t>1024806840</t>
  </si>
  <si>
    <t>10</t>
  </si>
  <si>
    <t>681168606</t>
  </si>
  <si>
    <t>606014876</t>
  </si>
  <si>
    <t>606014874</t>
  </si>
  <si>
    <t>606022144</t>
  </si>
  <si>
    <t>012389</t>
  </si>
  <si>
    <t>606021316</t>
  </si>
  <si>
    <t>015959</t>
  </si>
  <si>
    <t>606021315</t>
  </si>
  <si>
    <t>011955</t>
  </si>
  <si>
    <t>124</t>
  </si>
  <si>
    <t>125</t>
  </si>
  <si>
    <t>14</t>
  </si>
  <si>
    <t>Terezínská 139/13, 41030 Lovosice</t>
  </si>
  <si>
    <t>859182400402263251</t>
  </si>
  <si>
    <t>Terezínská 489/64, 41030 Lovosice</t>
  </si>
  <si>
    <t>859182400402263015</t>
  </si>
  <si>
    <t>Svatopluka Čecha, 41030 Lovosice</t>
  </si>
  <si>
    <t>U Zdymadel 827/1, 41030 Lovosice</t>
  </si>
  <si>
    <t>Terezínská 873, 41030 Lovosice</t>
  </si>
  <si>
    <t>Osvoboditelů 1/2, 41030 Lovosice</t>
  </si>
  <si>
    <t>Lovošská 1033/16, 41030 Lovosice</t>
  </si>
  <si>
    <t>Sady Pionýrů 850, 41030 Lovosice</t>
  </si>
  <si>
    <t>8.května 155/13, 41030 Lovosice</t>
  </si>
  <si>
    <t>Nádražní, 41030 Lovosice</t>
  </si>
  <si>
    <t>Žižkova 377/49, 41030 Lovosice</t>
  </si>
  <si>
    <t>Dlouhá, 41030 Lovosice</t>
  </si>
  <si>
    <t>Ústecká 1, 41030 Lovosice</t>
  </si>
  <si>
    <t>Smetanova 707/16, 41030 Lovosice</t>
  </si>
  <si>
    <t>Tovární, 41030 Lovosice</t>
  </si>
  <si>
    <t>Kmochova, 41030 Lovosice</t>
  </si>
  <si>
    <t>Jaroslava Ježka, 41030 Lovosice</t>
  </si>
  <si>
    <t>Přívozní, 41030 Lovosice</t>
  </si>
  <si>
    <t>Osvoboditelů 1, 41030 Lovosice</t>
  </si>
  <si>
    <t>Palackého, 41030 Lovosice</t>
  </si>
  <si>
    <t>Karla Maličkého, 41030 Lovosice</t>
  </si>
  <si>
    <t>Osvoboditelů 38/15, 41030 Lovosice</t>
  </si>
  <si>
    <t>28.října, 41030 Lovosice</t>
  </si>
  <si>
    <t>Lhotecká, 41002 Lovosice</t>
  </si>
  <si>
    <t>Zámecká, 41030 Lovosice</t>
  </si>
  <si>
    <t>Kostelní 903, 41030 Lovosice</t>
  </si>
  <si>
    <t>859182400402263077</t>
  </si>
  <si>
    <t>859182400402308792</t>
  </si>
  <si>
    <t>859182400400457119</t>
  </si>
  <si>
    <t>859182400402305906</t>
  </si>
  <si>
    <t>859182400402305005</t>
  </si>
  <si>
    <t>859182400400457126</t>
  </si>
  <si>
    <t>859182400402305913</t>
  </si>
  <si>
    <t>859182400400190658</t>
  </si>
  <si>
    <t>859182400402304312</t>
  </si>
  <si>
    <t>859182400402303186</t>
  </si>
  <si>
    <t>859182400407266615</t>
  </si>
  <si>
    <t>859182400400092532</t>
  </si>
  <si>
    <t>859182400402307030</t>
  </si>
  <si>
    <t>859182400402307610</t>
  </si>
  <si>
    <t>859182400402309225</t>
  </si>
  <si>
    <t>859182400402308211</t>
  </si>
  <si>
    <t>859182400402307177</t>
  </si>
  <si>
    <t>859182400402308716</t>
  </si>
  <si>
    <t>859182400407857172</t>
  </si>
  <si>
    <t>859182400407396992</t>
  </si>
  <si>
    <t>859182400402264692</t>
  </si>
  <si>
    <t>859182400402264104</t>
  </si>
  <si>
    <t>859182400402264913</t>
  </si>
  <si>
    <t>859182400402261806</t>
  </si>
  <si>
    <t>859182400402263176</t>
  </si>
  <si>
    <t>859182400402265071</t>
  </si>
  <si>
    <t>859182400402263152</t>
  </si>
  <si>
    <t>606014632</t>
  </si>
  <si>
    <t>217456</t>
  </si>
  <si>
    <t>Centrální školní jídelna p.o.</t>
  </si>
  <si>
    <t>014336</t>
  </si>
  <si>
    <t>P3</t>
  </si>
  <si>
    <t>P5</t>
  </si>
  <si>
    <t>1025889577</t>
  </si>
  <si>
    <t xml:space="preserve">1025889572  </t>
  </si>
  <si>
    <t>Hlavní EE</t>
  </si>
  <si>
    <t>087366</t>
  </si>
  <si>
    <t>859182400402309256</t>
  </si>
  <si>
    <t>859182400402309065</t>
  </si>
  <si>
    <t>859182400402309041</t>
  </si>
  <si>
    <t>859182400402309072</t>
  </si>
  <si>
    <t>859182400402308242</t>
  </si>
  <si>
    <t>859182400402309171</t>
  </si>
  <si>
    <t>859182400402308969</t>
  </si>
  <si>
    <t>859182400402309263</t>
  </si>
  <si>
    <t>1670333142</t>
  </si>
  <si>
    <t>1370109909</t>
  </si>
  <si>
    <t>2480517601</t>
  </si>
  <si>
    <t>44565491</t>
  </si>
  <si>
    <t>1021185098</t>
  </si>
  <si>
    <t>5812493</t>
  </si>
  <si>
    <t>1022887791</t>
  </si>
  <si>
    <t>1026615417</t>
  </si>
  <si>
    <t>1020729339</t>
  </si>
  <si>
    <t>1022888787</t>
  </si>
  <si>
    <t>1570243468</t>
  </si>
  <si>
    <t>1024903660</t>
  </si>
  <si>
    <t>1025978600</t>
  </si>
  <si>
    <t>45629262</t>
  </si>
  <si>
    <t>1370125956</t>
  </si>
  <si>
    <t>1022561109</t>
  </si>
  <si>
    <t>1670376310</t>
  </si>
  <si>
    <t>69351293</t>
  </si>
  <si>
    <t>1780029078</t>
  </si>
  <si>
    <t>2480517583</t>
  </si>
  <si>
    <t>859182400407543716</t>
  </si>
  <si>
    <t>Zdravotnická záchranná služba</t>
  </si>
  <si>
    <t>Mozaika z.s.</t>
  </si>
  <si>
    <t>1022552100</t>
  </si>
  <si>
    <t>44084701</t>
  </si>
  <si>
    <t>1570248621</t>
  </si>
  <si>
    <t>1023268963</t>
  </si>
  <si>
    <t>66925391</t>
  </si>
  <si>
    <t>2480517580</t>
  </si>
  <si>
    <t>45058769</t>
  </si>
  <si>
    <t>1780044078</t>
  </si>
  <si>
    <t>1780027396</t>
  </si>
  <si>
    <t>1026617483</t>
  </si>
  <si>
    <t>2380461537</t>
  </si>
  <si>
    <t>62063672</t>
  </si>
  <si>
    <t>1025987217</t>
  </si>
  <si>
    <t>1025980316</t>
  </si>
  <si>
    <t>1025299141</t>
  </si>
  <si>
    <t>1021243949</t>
  </si>
  <si>
    <t>859182400402306941</t>
  </si>
  <si>
    <t>606014424</t>
  </si>
  <si>
    <t>115</t>
  </si>
  <si>
    <t>122982</t>
  </si>
  <si>
    <t>606014429</t>
  </si>
  <si>
    <t>7</t>
  </si>
  <si>
    <t>76</t>
  </si>
  <si>
    <t>6a</t>
  </si>
  <si>
    <t>6b</t>
  </si>
  <si>
    <t>606014464</t>
  </si>
  <si>
    <t>606021262</t>
  </si>
  <si>
    <t>610018898</t>
  </si>
  <si>
    <t>000651</t>
  </si>
  <si>
    <t>606014463</t>
  </si>
  <si>
    <t>0514000</t>
  </si>
  <si>
    <t>606014462</t>
  </si>
  <si>
    <t>087852</t>
  </si>
  <si>
    <t>72388039</t>
  </si>
  <si>
    <t>61294469</t>
  </si>
  <si>
    <t>72288508, 71239337</t>
  </si>
  <si>
    <t>71396425</t>
  </si>
  <si>
    <t>66030605</t>
  </si>
  <si>
    <t>66049322</t>
  </si>
  <si>
    <t>71050307, 66049320</t>
  </si>
  <si>
    <t>71239330, 71396426</t>
  </si>
  <si>
    <t>71547994, 71037164</t>
  </si>
  <si>
    <t>66049319</t>
  </si>
  <si>
    <t>71037163</t>
  </si>
  <si>
    <t>66029522</t>
  </si>
  <si>
    <t>606014489</t>
  </si>
  <si>
    <t>66049325</t>
  </si>
  <si>
    <t>859182400407524173</t>
  </si>
  <si>
    <t>70446890</t>
  </si>
  <si>
    <t>606021052</t>
  </si>
  <si>
    <t>02993</t>
  </si>
  <si>
    <t>70476937</t>
  </si>
  <si>
    <t>66052926</t>
  </si>
  <si>
    <t>71211687</t>
  </si>
  <si>
    <t>71246769, 71246771, 71246770</t>
  </si>
  <si>
    <t>859182400402451320</t>
  </si>
  <si>
    <t>Zemní vrt</t>
  </si>
  <si>
    <t>U</t>
  </si>
  <si>
    <t>051404</t>
  </si>
  <si>
    <t>13885518</t>
  </si>
  <si>
    <t>82</t>
  </si>
  <si>
    <t>80</t>
  </si>
  <si>
    <t>20</t>
  </si>
  <si>
    <t>18</t>
  </si>
  <si>
    <t>19</t>
  </si>
  <si>
    <t>3</t>
  </si>
  <si>
    <t>Městský úřad, 407/2</t>
  </si>
  <si>
    <t>031398</t>
  </si>
  <si>
    <t>006427</t>
  </si>
  <si>
    <t>Odečet</t>
  </si>
  <si>
    <t>Spotřeba</t>
  </si>
  <si>
    <t>Roční spotřeba</t>
  </si>
  <si>
    <t>42011883023</t>
  </si>
  <si>
    <t>Jacht klub loděnice</t>
  </si>
  <si>
    <t>P19</t>
  </si>
  <si>
    <t>031385</t>
  </si>
  <si>
    <t>Prádelna</t>
  </si>
  <si>
    <t>Chlazení P17</t>
  </si>
  <si>
    <t>Letní sporty P4</t>
  </si>
  <si>
    <t>Hlavní měření</t>
  </si>
  <si>
    <t>Fotbal klub</t>
  </si>
  <si>
    <t>681117072</t>
  </si>
  <si>
    <t>037980</t>
  </si>
  <si>
    <t>Rybáři</t>
  </si>
  <si>
    <t>Loděnice</t>
  </si>
  <si>
    <t>11709773</t>
  </si>
  <si>
    <t>Hlavní přívod Sklep</t>
  </si>
  <si>
    <t>Hala u přívozu</t>
  </si>
  <si>
    <t>Fotbal + ZS</t>
  </si>
  <si>
    <t>Podružný vodoměr WC</t>
  </si>
  <si>
    <t>Energetičtí správci</t>
  </si>
  <si>
    <t>044410</t>
  </si>
  <si>
    <t>531252</t>
  </si>
  <si>
    <t>Přepočet zemního plynu</t>
  </si>
  <si>
    <t>606014501</t>
  </si>
  <si>
    <t>240994</t>
  </si>
  <si>
    <t>Přepočet tepla</t>
  </si>
  <si>
    <t>CK Lovoš, Lovo Café, sál</t>
  </si>
  <si>
    <t>CK Lovoš, kulturní sál</t>
  </si>
  <si>
    <t>CK Lovoš, admin. Budova</t>
  </si>
  <si>
    <t>71396424</t>
  </si>
  <si>
    <t>71396423</t>
  </si>
  <si>
    <t>71339328</t>
  </si>
  <si>
    <t>000666</t>
  </si>
  <si>
    <t>025922010174</t>
  </si>
  <si>
    <t>025922010172</t>
  </si>
  <si>
    <t>Centrální elektroměr P</t>
  </si>
  <si>
    <t>736414</t>
  </si>
  <si>
    <t>736413</t>
  </si>
  <si>
    <t>874292</t>
  </si>
  <si>
    <t>847291</t>
  </si>
  <si>
    <t>874293</t>
  </si>
  <si>
    <t>874296</t>
  </si>
  <si>
    <t>874278</t>
  </si>
  <si>
    <t>EDIN 341L</t>
  </si>
  <si>
    <t>883021</t>
  </si>
  <si>
    <t>750937</t>
  </si>
  <si>
    <t>798558</t>
  </si>
  <si>
    <t>031779</t>
  </si>
  <si>
    <t>087333</t>
  </si>
  <si>
    <t>Bc. Lenka Nekolná, 731 495 220, ms.lovosice@tiscali.cz</t>
  </si>
  <si>
    <t>7021455</t>
  </si>
  <si>
    <t>Provozovatel</t>
  </si>
  <si>
    <t>004727</t>
  </si>
  <si>
    <t>SD Ořech 2 Bílina</t>
  </si>
  <si>
    <t>Studna</t>
  </si>
  <si>
    <t>Pavlína Machová</t>
  </si>
  <si>
    <t>025308</t>
  </si>
  <si>
    <t>Mgr. Alena Ptáčková, 725 177 262, alena.ptackova@zsabaraka.cz</t>
  </si>
  <si>
    <t>70148366</t>
  </si>
  <si>
    <t>Ondřej Hampl, 720 732 540, udrzba@cklovos.cz</t>
  </si>
  <si>
    <t>Bc. Jaroslav Janovský, 733 175 795, jaroslav.janovsky@meulovo.cz</t>
  </si>
  <si>
    <t>Bc. Iva Filousová, 777 285 753, elko@raz-dva.cz</t>
  </si>
  <si>
    <t>Pavel Burda, 416 571 165, pavel.burda@meulovo.cz</t>
  </si>
  <si>
    <t xml:space="preserve">Mgr. Hana Rajnišová, 734 428 695, rajnisova.hana@1zslovosice.cz </t>
  </si>
  <si>
    <t>Daniela Došková, 778 460 037, gymlovo@gymlovo.cz</t>
  </si>
  <si>
    <t>TE ZP</t>
  </si>
  <si>
    <t>Podružný vodoměr</t>
  </si>
  <si>
    <t>1 MWh = 3,6 GJ</t>
  </si>
  <si>
    <t>Jiří Růzha, 739 567 854, spravce@ssmlovo.cz</t>
  </si>
  <si>
    <t>Mgr. Jana Kašparová, 777 404 837, kasparova@vsehr</t>
  </si>
  <si>
    <t>Roman Haluška, 603 891 636, mistr@tslovosice.cz</t>
  </si>
  <si>
    <t>Ing. Monika Kšánová, 602 501 550, reditel@activestadium.cz</t>
  </si>
  <si>
    <t>Ing. Jiří Šebek, 705 720 764, vedouci.sport@tslovosice.cz</t>
  </si>
  <si>
    <t>Martin Vágner, 605 461 889, technik.ts@tslovosice.cz</t>
  </si>
  <si>
    <t>38988</t>
  </si>
  <si>
    <t>Svoboda</t>
  </si>
  <si>
    <t>2043255</t>
  </si>
  <si>
    <t>622065</t>
  </si>
  <si>
    <t>665896</t>
  </si>
  <si>
    <t>U Stadionu 1022/2, 410 02 Lovosice</t>
  </si>
  <si>
    <t>Alena Procházková</t>
  </si>
  <si>
    <t>Hala U Přívozu  P6</t>
  </si>
  <si>
    <t>1605595</t>
  </si>
  <si>
    <t>12345402</t>
  </si>
  <si>
    <t>Nafukovačka</t>
  </si>
  <si>
    <t>Tenis</t>
  </si>
  <si>
    <t>12345401</t>
  </si>
  <si>
    <t>P20 Tenis/odbíjená</t>
  </si>
  <si>
    <t>1605528</t>
  </si>
  <si>
    <t>EE VO 9</t>
  </si>
  <si>
    <t>EE VO 7</t>
  </si>
  <si>
    <t>EE VO 8</t>
  </si>
  <si>
    <t>EE VO 27</t>
  </si>
  <si>
    <t>EE VO 4</t>
  </si>
  <si>
    <t>EE VO 25</t>
  </si>
  <si>
    <t>EE VO 21</t>
  </si>
  <si>
    <t>EE VO 5</t>
  </si>
  <si>
    <t>EE VO 6</t>
  </si>
  <si>
    <t>EE VO 12</t>
  </si>
  <si>
    <t>EE VO 20</t>
  </si>
  <si>
    <t>EE VO 11</t>
  </si>
  <si>
    <t>EE VO 17</t>
  </si>
  <si>
    <t>EE VO 19</t>
  </si>
  <si>
    <t>EE VO 23</t>
  </si>
  <si>
    <t>EE VO 26</t>
  </si>
  <si>
    <t>EE VO 22</t>
  </si>
  <si>
    <t>EE VO 24</t>
  </si>
  <si>
    <t>EE VO 28</t>
  </si>
  <si>
    <t>EE VO 31</t>
  </si>
  <si>
    <t>EE VO 3</t>
  </si>
  <si>
    <t>EE VO 13</t>
  </si>
  <si>
    <t>EE VO 16</t>
  </si>
  <si>
    <t>EE VO 1</t>
  </si>
  <si>
    <t>EE VO 14</t>
  </si>
  <si>
    <t>EE VO 15</t>
  </si>
  <si>
    <t>EE VO 18</t>
  </si>
  <si>
    <t>EE VO 30</t>
  </si>
  <si>
    <t>EE VO 10</t>
  </si>
  <si>
    <t>1614846</t>
  </si>
  <si>
    <t xml:space="preserve">Nový </t>
  </si>
  <si>
    <t>06216023</t>
  </si>
  <si>
    <t>06216123</t>
  </si>
  <si>
    <t>Průjezd 1</t>
  </si>
  <si>
    <t>Průjezd 2</t>
  </si>
  <si>
    <t>813960</t>
  </si>
  <si>
    <t>86205002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</si>
</sst>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K_č_-;\-* #,##0.00\ _K_č_-;_-* &quot;-&quot;??\ _K_č_-;_-@_-"/>
    <numFmt numFmtId="164" formatCode="#,##0.000"/>
    <numFmt numFmtId="165" formatCode="#\ ###\ ###\ ##0.000"/>
  </numFmts>
  <fonts count="38" x14ac:knownFonts="1">
    <font>
      <sz val="11"/>
      <color theme="1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</font>
    <font>
      <b/>
      <i/>
      <vertAlign val="superscript"/>
      <sz val="10"/>
      <color theme="0"/>
      <name val="Calibri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rgb="FF0070C0"/>
      <name val="Calibri"/>
      <family val="2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38" applyNumberFormat="0" applyFill="0" applyAlignment="0" applyProtection="0"/>
    <xf numFmtId="0" fontId="12" fillId="0" borderId="39" applyNumberFormat="0" applyFill="0" applyAlignment="0" applyProtection="0"/>
    <xf numFmtId="0" fontId="13" fillId="0" borderId="40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41" applyNumberFormat="0" applyAlignment="0" applyProtection="0"/>
    <xf numFmtId="0" fontId="18" fillId="7" borderId="42" applyNumberFormat="0" applyAlignment="0" applyProtection="0"/>
    <xf numFmtId="0" fontId="19" fillId="7" borderId="41" applyNumberFormat="0" applyAlignment="0" applyProtection="0"/>
    <xf numFmtId="0" fontId="20" fillId="0" borderId="43" applyNumberFormat="0" applyFill="0" applyAlignment="0" applyProtection="0"/>
    <xf numFmtId="0" fontId="21" fillId="8" borderId="44" applyNumberFormat="0" applyAlignment="0" applyProtection="0"/>
    <xf numFmtId="0" fontId="22" fillId="0" borderId="0" applyNumberFormat="0" applyFill="0" applyBorder="0" applyAlignment="0" applyProtection="0"/>
    <xf numFmtId="0" fontId="9" fillId="9" borderId="4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46" applyNumberFormat="0" applyFill="0" applyAlignment="0" applyProtection="0"/>
    <xf numFmtId="0" fontId="25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25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25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25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25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25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26" fillId="0" borderId="0"/>
    <xf numFmtId="0" fontId="27" fillId="0" borderId="0"/>
    <xf numFmtId="0" fontId="28" fillId="0" borderId="0"/>
    <xf numFmtId="0" fontId="29" fillId="0" borderId="0"/>
    <xf numFmtId="0" fontId="26" fillId="0" borderId="0"/>
  </cellStyleXfs>
  <cellXfs count="364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wrapText="1"/>
    </xf>
    <xf numFmtId="0" fontId="3" fillId="0" borderId="20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3" fontId="5" fillId="0" borderId="0" xfId="0" applyNumberFormat="1" applyFont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64" fontId="8" fillId="2" borderId="25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/>
    </xf>
    <xf numFmtId="49" fontId="32" fillId="0" borderId="1" xfId="0" applyNumberFormat="1" applyFont="1" applyFill="1" applyBorder="1" applyAlignment="1">
      <alignment horizontal="center" vertical="center"/>
    </xf>
    <xf numFmtId="4" fontId="32" fillId="0" borderId="31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4" fontId="30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left" vertical="center"/>
    </xf>
    <xf numFmtId="49" fontId="32" fillId="0" borderId="4" xfId="0" applyNumberFormat="1" applyFont="1" applyFill="1" applyBorder="1" applyAlignment="1">
      <alignment horizontal="center" vertical="center"/>
    </xf>
    <xf numFmtId="49" fontId="32" fillId="0" borderId="1" xfId="42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/>
    </xf>
    <xf numFmtId="0" fontId="32" fillId="35" borderId="1" xfId="0" applyFont="1" applyFill="1" applyBorder="1" applyAlignment="1">
      <alignment horizontal="left" vertical="center" wrapText="1"/>
    </xf>
    <xf numFmtId="0" fontId="32" fillId="35" borderId="1" xfId="0" applyFont="1" applyFill="1" applyBorder="1" applyAlignment="1">
      <alignment horizontal="left" vertical="center"/>
    </xf>
    <xf numFmtId="0" fontId="32" fillId="35" borderId="1" xfId="0" applyFont="1" applyFill="1" applyBorder="1" applyAlignment="1">
      <alignment horizontal="center" vertical="center"/>
    </xf>
    <xf numFmtId="49" fontId="32" fillId="35" borderId="1" xfId="0" applyNumberFormat="1" applyFont="1" applyFill="1" applyBorder="1" applyAlignment="1">
      <alignment horizontal="center" vertical="center"/>
    </xf>
    <xf numFmtId="4" fontId="32" fillId="35" borderId="31" xfId="0" applyNumberFormat="1" applyFont="1" applyFill="1" applyBorder="1" applyAlignment="1">
      <alignment horizontal="center" vertical="center"/>
    </xf>
    <xf numFmtId="49" fontId="32" fillId="35" borderId="1" xfId="43" applyNumberFormat="1" applyFont="1" applyFill="1" applyBorder="1" applyAlignment="1">
      <alignment horizontal="center" vertical="center"/>
    </xf>
    <xf numFmtId="49" fontId="32" fillId="35" borderId="0" xfId="43" applyNumberFormat="1" applyFont="1" applyFill="1" applyBorder="1" applyAlignment="1">
      <alignment horizontal="center" vertical="center"/>
    </xf>
    <xf numFmtId="0" fontId="32" fillId="35" borderId="48" xfId="0" applyFont="1" applyFill="1" applyBorder="1" applyAlignment="1">
      <alignment horizontal="left" vertical="center"/>
    </xf>
    <xf numFmtId="0" fontId="32" fillId="35" borderId="48" xfId="0" applyFont="1" applyFill="1" applyBorder="1" applyAlignment="1">
      <alignment horizontal="center" vertical="center"/>
    </xf>
    <xf numFmtId="49" fontId="32" fillId="35" borderId="48" xfId="0" applyNumberFormat="1" applyFont="1" applyFill="1" applyBorder="1" applyAlignment="1">
      <alignment horizontal="center" vertical="center"/>
    </xf>
    <xf numFmtId="4" fontId="32" fillId="0" borderId="55" xfId="0" applyNumberFormat="1" applyFont="1" applyFill="1" applyBorder="1" applyAlignment="1">
      <alignment horizontal="center" vertical="center"/>
    </xf>
    <xf numFmtId="4" fontId="32" fillId="0" borderId="58" xfId="0" applyNumberFormat="1" applyFont="1" applyFill="1" applyBorder="1" applyAlignment="1">
      <alignment horizontal="center" vertical="center"/>
    </xf>
    <xf numFmtId="4" fontId="32" fillId="0" borderId="53" xfId="0" applyNumberFormat="1" applyFont="1" applyFill="1" applyBorder="1" applyAlignment="1">
      <alignment horizontal="center" vertical="center"/>
    </xf>
    <xf numFmtId="164" fontId="3" fillId="36" borderId="5" xfId="0" applyNumberFormat="1" applyFont="1" applyFill="1" applyBorder="1" applyAlignment="1">
      <alignment horizontal="center" vertical="center" wrapText="1"/>
    </xf>
    <xf numFmtId="164" fontId="3" fillId="36" borderId="1" xfId="0" applyNumberFormat="1" applyFont="1" applyFill="1" applyBorder="1" applyAlignment="1">
      <alignment horizontal="center" vertical="center" wrapText="1"/>
    </xf>
    <xf numFmtId="164" fontId="3" fillId="36" borderId="2" xfId="0" applyNumberFormat="1" applyFont="1" applyFill="1" applyBorder="1" applyAlignment="1">
      <alignment horizontal="center" vertical="center" wrapText="1"/>
    </xf>
    <xf numFmtId="164" fontId="3" fillId="37" borderId="15" xfId="0" applyNumberFormat="1" applyFont="1" applyFill="1" applyBorder="1" applyAlignment="1">
      <alignment horizontal="center" vertical="center" wrapText="1"/>
    </xf>
    <xf numFmtId="164" fontId="3" fillId="37" borderId="16" xfId="0" applyNumberFormat="1" applyFont="1" applyFill="1" applyBorder="1" applyAlignment="1">
      <alignment horizontal="center" vertical="center" wrapText="1"/>
    </xf>
    <xf numFmtId="164" fontId="3" fillId="37" borderId="17" xfId="0" applyNumberFormat="1" applyFont="1" applyFill="1" applyBorder="1" applyAlignment="1">
      <alignment horizontal="center" vertical="center" wrapText="1"/>
    </xf>
    <xf numFmtId="164" fontId="3" fillId="37" borderId="5" xfId="0" applyNumberFormat="1" applyFont="1" applyFill="1" applyBorder="1" applyAlignment="1">
      <alignment horizontal="center" vertical="center" wrapText="1"/>
    </xf>
    <xf numFmtId="164" fontId="3" fillId="37" borderId="1" xfId="0" applyNumberFormat="1" applyFont="1" applyFill="1" applyBorder="1" applyAlignment="1">
      <alignment horizontal="center" vertical="center" wrapText="1"/>
    </xf>
    <xf numFmtId="164" fontId="3" fillId="37" borderId="2" xfId="0" applyNumberFormat="1" applyFont="1" applyFill="1" applyBorder="1" applyAlignment="1">
      <alignment horizontal="center" vertical="center" wrapText="1"/>
    </xf>
    <xf numFmtId="0" fontId="3" fillId="36" borderId="1" xfId="0" applyFont="1" applyFill="1" applyBorder="1" applyAlignment="1">
      <alignment horizontal="left" vertical="center" wrapText="1"/>
    </xf>
    <xf numFmtId="0" fontId="3" fillId="36" borderId="1" xfId="0" applyFont="1" applyFill="1" applyBorder="1" applyAlignment="1">
      <alignment horizontal="left" vertical="center"/>
    </xf>
    <xf numFmtId="0" fontId="3" fillId="36" borderId="1" xfId="0" applyFont="1" applyFill="1" applyBorder="1" applyAlignment="1">
      <alignment vertical="center"/>
    </xf>
    <xf numFmtId="0" fontId="3" fillId="36" borderId="1" xfId="0" applyFont="1" applyFill="1" applyBorder="1" applyAlignment="1">
      <alignment horizontal="center" vertical="center"/>
    </xf>
    <xf numFmtId="0" fontId="3" fillId="36" borderId="1" xfId="0" applyFont="1" applyFill="1" applyBorder="1" applyAlignment="1">
      <alignment horizontal="center" vertical="center" wrapText="1"/>
    </xf>
    <xf numFmtId="43" fontId="3" fillId="36" borderId="1" xfId="0" applyNumberFormat="1" applyFont="1" applyFill="1" applyBorder="1" applyAlignment="1">
      <alignment horizontal="center" vertical="center" wrapText="1"/>
    </xf>
    <xf numFmtId="0" fontId="3" fillId="36" borderId="20" xfId="0" applyFont="1" applyFill="1" applyBorder="1" applyAlignment="1">
      <alignment vertical="center" wrapText="1"/>
    </xf>
    <xf numFmtId="0" fontId="3" fillId="36" borderId="5" xfId="0" applyFont="1" applyFill="1" applyBorder="1" applyAlignment="1">
      <alignment horizontal="center" vertical="center" wrapText="1"/>
    </xf>
    <xf numFmtId="4" fontId="32" fillId="36" borderId="31" xfId="0" applyNumberFormat="1" applyFont="1" applyFill="1" applyBorder="1" applyAlignment="1">
      <alignment horizontal="center" vertical="center"/>
    </xf>
    <xf numFmtId="0" fontId="32" fillId="36" borderId="1" xfId="0" applyFont="1" applyFill="1" applyBorder="1" applyAlignment="1">
      <alignment horizontal="left" vertical="center" wrapText="1"/>
    </xf>
    <xf numFmtId="0" fontId="32" fillId="36" borderId="1" xfId="0" applyFont="1" applyFill="1" applyBorder="1" applyAlignment="1">
      <alignment horizontal="left" vertical="center"/>
    </xf>
    <xf numFmtId="0" fontId="32" fillId="36" borderId="1" xfId="0" applyFont="1" applyFill="1" applyBorder="1" applyAlignment="1">
      <alignment horizontal="center" vertical="center"/>
    </xf>
    <xf numFmtId="49" fontId="32" fillId="36" borderId="1" xfId="0" applyNumberFormat="1" applyFont="1" applyFill="1" applyBorder="1" applyAlignment="1">
      <alignment horizontal="center" vertical="center"/>
    </xf>
    <xf numFmtId="164" fontId="3" fillId="37" borderId="3" xfId="0" applyNumberFormat="1" applyFont="1" applyFill="1" applyBorder="1" applyAlignment="1">
      <alignment horizontal="center" vertical="center" wrapText="1"/>
    </xf>
    <xf numFmtId="164" fontId="3" fillId="37" borderId="8" xfId="0" applyNumberFormat="1" applyFont="1" applyFill="1" applyBorder="1" applyAlignment="1">
      <alignment horizontal="center" vertical="center" wrapText="1"/>
    </xf>
    <xf numFmtId="164" fontId="3" fillId="37" borderId="9" xfId="0" applyNumberFormat="1" applyFont="1" applyFill="1" applyBorder="1" applyAlignment="1">
      <alignment horizontal="center" vertical="center" wrapText="1"/>
    </xf>
    <xf numFmtId="164" fontId="3" fillId="37" borderId="31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36" borderId="1" xfId="0" applyNumberFormat="1" applyFont="1" applyFill="1" applyBorder="1" applyAlignment="1">
      <alignment horizontal="center" vertical="center" wrapText="1"/>
    </xf>
    <xf numFmtId="3" fontId="3" fillId="36" borderId="2" xfId="0" applyNumberFormat="1" applyFont="1" applyFill="1" applyBorder="1" applyAlignment="1">
      <alignment horizontal="center" vertical="center" wrapText="1"/>
    </xf>
    <xf numFmtId="3" fontId="3" fillId="37" borderId="1" xfId="0" applyNumberFormat="1" applyFont="1" applyFill="1" applyBorder="1" applyAlignment="1">
      <alignment horizontal="center" vertical="center" wrapText="1"/>
    </xf>
    <xf numFmtId="3" fontId="3" fillId="37" borderId="8" xfId="0" applyNumberFormat="1" applyFont="1" applyFill="1" applyBorder="1" applyAlignment="1">
      <alignment horizontal="center" vertical="center" wrapText="1"/>
    </xf>
    <xf numFmtId="3" fontId="3" fillId="37" borderId="3" xfId="0" applyNumberFormat="1" applyFont="1" applyFill="1" applyBorder="1" applyAlignment="1">
      <alignment horizontal="center" vertical="center" wrapText="1"/>
    </xf>
    <xf numFmtId="3" fontId="8" fillId="2" borderId="25" xfId="0" applyNumberFormat="1" applyFont="1" applyFill="1" applyBorder="1" applyAlignment="1">
      <alignment horizontal="center" vertical="center" wrapText="1"/>
    </xf>
    <xf numFmtId="0" fontId="32" fillId="36" borderId="5" xfId="0" applyFont="1" applyFill="1" applyBorder="1" applyAlignment="1">
      <alignment horizontal="center" vertical="center" wrapText="1"/>
    </xf>
    <xf numFmtId="4" fontId="32" fillId="37" borderId="31" xfId="0" applyNumberFormat="1" applyFont="1" applyFill="1" applyBorder="1" applyAlignment="1">
      <alignment horizontal="center" vertical="center"/>
    </xf>
    <xf numFmtId="49" fontId="32" fillId="37" borderId="1" xfId="0" applyNumberFormat="1" applyFont="1" applyFill="1" applyBorder="1" applyAlignment="1">
      <alignment horizontal="center" vertical="center"/>
    </xf>
    <xf numFmtId="4" fontId="32" fillId="0" borderId="52" xfId="0" applyNumberFormat="1" applyFont="1" applyFill="1" applyBorder="1" applyAlignment="1">
      <alignment horizontal="center" vertical="center"/>
    </xf>
    <xf numFmtId="4" fontId="32" fillId="0" borderId="54" xfId="0" applyNumberFormat="1" applyFont="1" applyFill="1" applyBorder="1" applyAlignment="1">
      <alignment horizontal="center" vertical="center"/>
    </xf>
    <xf numFmtId="4" fontId="32" fillId="0" borderId="29" xfId="0" applyNumberFormat="1" applyFont="1" applyFill="1" applyBorder="1" applyAlignment="1">
      <alignment horizontal="center" vertical="center"/>
    </xf>
    <xf numFmtId="49" fontId="32" fillId="0" borderId="9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32" fillId="36" borderId="2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49" fontId="32" fillId="0" borderId="2" xfId="42" applyNumberFormat="1" applyFont="1" applyFill="1" applyBorder="1" applyAlignment="1">
      <alignment horizontal="center" vertical="center"/>
    </xf>
    <xf numFmtId="49" fontId="33" fillId="0" borderId="2" xfId="42" applyNumberFormat="1" applyFont="1" applyFill="1" applyBorder="1" applyAlignment="1">
      <alignment horizontal="center" vertical="center"/>
    </xf>
    <xf numFmtId="49" fontId="32" fillId="35" borderId="2" xfId="0" applyNumberFormat="1" applyFont="1" applyFill="1" applyBorder="1" applyAlignment="1">
      <alignment horizontal="center" vertical="center"/>
    </xf>
    <xf numFmtId="49" fontId="32" fillId="35" borderId="2" xfId="43" applyNumberFormat="1" applyFont="1" applyFill="1" applyBorder="1" applyAlignment="1">
      <alignment horizontal="center" vertical="center"/>
    </xf>
    <xf numFmtId="49" fontId="32" fillId="35" borderId="35" xfId="0" applyNumberFormat="1" applyFont="1" applyFill="1" applyBorder="1" applyAlignment="1">
      <alignment horizontal="center" vertical="center"/>
    </xf>
    <xf numFmtId="49" fontId="32" fillId="36" borderId="2" xfId="43" applyNumberFormat="1" applyFont="1" applyFill="1" applyBorder="1" applyAlignment="1">
      <alignment horizontal="left" vertical="center"/>
    </xf>
    <xf numFmtId="49" fontId="32" fillId="37" borderId="2" xfId="0" applyNumberFormat="1" applyFont="1" applyFill="1" applyBorder="1" applyAlignment="1">
      <alignment horizontal="center" vertical="center"/>
    </xf>
    <xf numFmtId="4" fontId="31" fillId="2" borderId="48" xfId="0" applyNumberFormat="1" applyFont="1" applyFill="1" applyBorder="1" applyAlignment="1">
      <alignment horizontal="center" vertical="center" wrapText="1"/>
    </xf>
    <xf numFmtId="4" fontId="32" fillId="36" borderId="55" xfId="0" applyNumberFormat="1" applyFont="1" applyFill="1" applyBorder="1" applyAlignment="1">
      <alignment horizontal="center" vertical="center"/>
    </xf>
    <xf numFmtId="4" fontId="32" fillId="37" borderId="55" xfId="0" applyNumberFormat="1" applyFont="1" applyFill="1" applyBorder="1" applyAlignment="1">
      <alignment horizontal="center" vertical="center"/>
    </xf>
    <xf numFmtId="4" fontId="32" fillId="0" borderId="61" xfId="0" applyNumberFormat="1" applyFont="1" applyFill="1" applyBorder="1" applyAlignment="1">
      <alignment horizontal="center" vertical="center"/>
    </xf>
    <xf numFmtId="4" fontId="31" fillId="2" borderId="62" xfId="0" applyNumberFormat="1" applyFont="1" applyFill="1" applyBorder="1" applyAlignment="1">
      <alignment horizontal="center" vertical="center" wrapText="1"/>
    </xf>
    <xf numFmtId="4" fontId="32" fillId="36" borderId="29" xfId="0" applyNumberFormat="1" applyFont="1" applyFill="1" applyBorder="1" applyAlignment="1">
      <alignment horizontal="center" vertical="center"/>
    </xf>
    <xf numFmtId="4" fontId="32" fillId="37" borderId="29" xfId="0" applyNumberFormat="1" applyFont="1" applyFill="1" applyBorder="1" applyAlignment="1">
      <alignment horizontal="center" vertical="center"/>
    </xf>
    <xf numFmtId="4" fontId="32" fillId="0" borderId="56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4" fontId="32" fillId="0" borderId="1" xfId="0" applyNumberFormat="1" applyFont="1" applyFill="1" applyBorder="1" applyAlignment="1">
      <alignment horizontal="center" vertical="center"/>
    </xf>
    <xf numFmtId="0" fontId="32" fillId="36" borderId="5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vertical="center"/>
    </xf>
    <xf numFmtId="0" fontId="32" fillId="0" borderId="3" xfId="0" applyFont="1" applyFill="1" applyBorder="1" applyAlignment="1">
      <alignment horizontal="left" vertical="center"/>
    </xf>
    <xf numFmtId="0" fontId="32" fillId="0" borderId="48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3" fontId="3" fillId="37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4" fontId="3" fillId="0" borderId="64" xfId="46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37" borderId="5" xfId="0" applyNumberFormat="1" applyFont="1" applyFill="1" applyBorder="1" applyAlignment="1">
      <alignment horizontal="center" vertical="center"/>
    </xf>
    <xf numFmtId="164" fontId="3" fillId="37" borderId="1" xfId="0" applyNumberFormat="1" applyFont="1" applyFill="1" applyBorder="1" applyAlignment="1">
      <alignment horizontal="center" vertical="center"/>
    </xf>
    <xf numFmtId="164" fontId="3" fillId="37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43" fontId="3" fillId="34" borderId="1" xfId="0" applyNumberFormat="1" applyFont="1" applyFill="1" applyBorder="1" applyAlignment="1">
      <alignment horizontal="center" vertical="center" wrapText="1"/>
    </xf>
    <xf numFmtId="0" fontId="5" fillId="38" borderId="0" xfId="0" applyFont="1" applyFill="1" applyAlignment="1">
      <alignment vertical="center" wrapText="1"/>
    </xf>
    <xf numFmtId="0" fontId="5" fillId="38" borderId="0" xfId="0" applyFont="1" applyFill="1" applyAlignment="1">
      <alignment vertical="center"/>
    </xf>
    <xf numFmtId="0" fontId="5" fillId="38" borderId="0" xfId="0" applyFont="1" applyFill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164" fontId="3" fillId="37" borderId="26" xfId="0" applyNumberFormat="1" applyFont="1" applyFill="1" applyBorder="1" applyAlignment="1">
      <alignment vertical="center" wrapText="1"/>
    </xf>
    <xf numFmtId="164" fontId="3" fillId="37" borderId="12" xfId="0" applyNumberFormat="1" applyFont="1" applyFill="1" applyBorder="1" applyAlignment="1">
      <alignment vertical="center" wrapText="1"/>
    </xf>
    <xf numFmtId="164" fontId="3" fillId="37" borderId="5" xfId="0" applyNumberFormat="1" applyFont="1" applyFill="1" applyBorder="1" applyAlignment="1">
      <alignment vertical="center" wrapText="1"/>
    </xf>
    <xf numFmtId="164" fontId="34" fillId="0" borderId="2" xfId="0" applyNumberFormat="1" applyFont="1" applyFill="1" applyBorder="1" applyAlignment="1">
      <alignment horizontal="center" vertical="center" wrapText="1"/>
    </xf>
    <xf numFmtId="3" fontId="34" fillId="0" borderId="17" xfId="0" applyNumberFormat="1" applyFont="1" applyFill="1" applyBorder="1" applyAlignment="1">
      <alignment horizontal="center" vertical="center" wrapText="1"/>
    </xf>
    <xf numFmtId="3" fontId="34" fillId="0" borderId="2" xfId="0" applyNumberFormat="1" applyFont="1" applyFill="1" applyBorder="1" applyAlignment="1">
      <alignment horizontal="center" vertical="center" wrapText="1"/>
    </xf>
    <xf numFmtId="3" fontId="34" fillId="36" borderId="2" xfId="0" applyNumberFormat="1" applyFont="1" applyFill="1" applyBorder="1" applyAlignment="1">
      <alignment horizontal="center" vertical="center" wrapText="1"/>
    </xf>
    <xf numFmtId="164" fontId="34" fillId="36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32" fillId="0" borderId="59" xfId="0" applyNumberFormat="1" applyFont="1" applyFill="1" applyBorder="1" applyAlignment="1">
      <alignment horizontal="center" vertical="center"/>
    </xf>
    <xf numFmtId="4" fontId="32" fillId="0" borderId="5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164" fontId="34" fillId="39" borderId="2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4" fontId="32" fillId="0" borderId="31" xfId="42" applyNumberFormat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center" vertical="center"/>
    </xf>
    <xf numFmtId="49" fontId="32" fillId="0" borderId="8" xfId="0" applyNumberFormat="1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/>
    </xf>
    <xf numFmtId="4" fontId="32" fillId="0" borderId="63" xfId="0" applyNumberFormat="1" applyFont="1" applyFill="1" applyBorder="1" applyAlignment="1">
      <alignment horizontal="center" vertical="center"/>
    </xf>
    <xf numFmtId="4" fontId="32" fillId="0" borderId="28" xfId="0" applyNumberFormat="1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43" fontId="3" fillId="0" borderId="18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4" fillId="0" borderId="9" xfId="0" applyNumberFormat="1" applyFont="1" applyFill="1" applyBorder="1" applyAlignment="1">
      <alignment horizontal="center" vertical="center" wrapText="1"/>
    </xf>
    <xf numFmtId="164" fontId="3" fillId="37" borderId="1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164" fontId="37" fillId="0" borderId="2" xfId="0" applyNumberFormat="1" applyFont="1" applyFill="1" applyBorder="1" applyAlignment="1">
      <alignment horizontal="center"/>
    </xf>
    <xf numFmtId="3" fontId="30" fillId="0" borderId="1" xfId="0" applyNumberFormat="1" applyFont="1" applyFill="1" applyBorder="1" applyAlignment="1">
      <alignment horizontal="center"/>
    </xf>
    <xf numFmtId="3" fontId="37" fillId="0" borderId="8" xfId="0" applyNumberFormat="1" applyFont="1" applyFill="1" applyBorder="1" applyAlignment="1">
      <alignment horizontal="center"/>
    </xf>
    <xf numFmtId="0" fontId="30" fillId="0" borderId="0" xfId="0" applyFont="1"/>
    <xf numFmtId="164" fontId="37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3" fontId="34" fillId="0" borderId="9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5" fillId="38" borderId="0" xfId="0" applyFont="1" applyFill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/>
    </xf>
    <xf numFmtId="164" fontId="37" fillId="0" borderId="8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32" fillId="0" borderId="49" xfId="0" applyNumberFormat="1" applyFont="1" applyFill="1" applyBorder="1" applyAlignment="1">
      <alignment horizontal="center" vertical="center"/>
    </xf>
    <xf numFmtId="4" fontId="32" fillId="0" borderId="48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164" fontId="3" fillId="0" borderId="33" xfId="0" applyNumberFormat="1" applyFont="1" applyFill="1" applyBorder="1" applyAlignment="1">
      <alignment horizontal="center" vertical="center" wrapText="1"/>
    </xf>
    <xf numFmtId="164" fontId="3" fillId="0" borderId="34" xfId="0" applyNumberFormat="1" applyFont="1" applyFill="1" applyBorder="1" applyAlignment="1">
      <alignment horizontal="center" vertical="center" wrapText="1"/>
    </xf>
    <xf numFmtId="164" fontId="30" fillId="0" borderId="3" xfId="0" applyNumberFormat="1" applyFont="1" applyFill="1" applyBorder="1" applyAlignment="1">
      <alignment horizontal="center" vertical="center"/>
    </xf>
    <xf numFmtId="164" fontId="30" fillId="0" borderId="7" xfId="0" applyNumberFormat="1" applyFont="1" applyFill="1" applyBorder="1" applyAlignment="1">
      <alignment horizontal="center" vertical="center"/>
    </xf>
    <xf numFmtId="164" fontId="30" fillId="0" borderId="4" xfId="0" applyNumberFormat="1" applyFont="1" applyFill="1" applyBorder="1" applyAlignment="1">
      <alignment horizontal="center" vertical="center"/>
    </xf>
    <xf numFmtId="164" fontId="37" fillId="0" borderId="8" xfId="0" applyNumberFormat="1" applyFont="1" applyFill="1" applyBorder="1" applyAlignment="1">
      <alignment horizontal="center" vertical="center"/>
    </xf>
    <xf numFmtId="164" fontId="37" fillId="0" borderId="11" xfId="0" applyNumberFormat="1" applyFont="1" applyFill="1" applyBorder="1" applyAlignment="1">
      <alignment horizontal="center" vertical="center"/>
    </xf>
    <xf numFmtId="164" fontId="37" fillId="0" borderId="9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3" fontId="34" fillId="40" borderId="8" xfId="0" applyNumberFormat="1" applyFont="1" applyFill="1" applyBorder="1" applyAlignment="1">
      <alignment horizontal="center" vertical="center" wrapText="1"/>
    </xf>
    <xf numFmtId="3" fontId="34" fillId="40" borderId="11" xfId="0" applyNumberFormat="1" applyFont="1" applyFill="1" applyBorder="1" applyAlignment="1">
      <alignment horizontal="center" vertical="center" wrapText="1"/>
    </xf>
    <xf numFmtId="3" fontId="34" fillId="40" borderId="9" xfId="0" applyNumberFormat="1" applyFont="1" applyFill="1" applyBorder="1" applyAlignment="1">
      <alignment horizontal="center" vertical="center" wrapText="1"/>
    </xf>
    <xf numFmtId="164" fontId="34" fillId="0" borderId="8" xfId="0" applyNumberFormat="1" applyFont="1" applyFill="1" applyBorder="1" applyAlignment="1">
      <alignment horizontal="center" vertical="center" wrapText="1"/>
    </xf>
    <xf numFmtId="164" fontId="34" fillId="0" borderId="11" xfId="0" applyNumberFormat="1" applyFont="1" applyFill="1" applyBorder="1" applyAlignment="1">
      <alignment horizontal="center" vertical="center" wrapText="1"/>
    </xf>
    <xf numFmtId="164" fontId="34" fillId="0" borderId="9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/>
    </xf>
    <xf numFmtId="3" fontId="30" fillId="0" borderId="4" xfId="0" applyNumberFormat="1" applyFont="1" applyFill="1" applyBorder="1" applyAlignment="1">
      <alignment horizontal="center" vertical="center"/>
    </xf>
    <xf numFmtId="3" fontId="37" fillId="0" borderId="8" xfId="0" applyNumberFormat="1" applyFont="1" applyFill="1" applyBorder="1" applyAlignment="1">
      <alignment horizontal="center" vertical="center"/>
    </xf>
    <xf numFmtId="3" fontId="37" fillId="0" borderId="9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4" fillId="0" borderId="8" xfId="0" applyNumberFormat="1" applyFont="1" applyFill="1" applyBorder="1" applyAlignment="1">
      <alignment horizontal="center" vertical="center" wrapText="1"/>
    </xf>
    <xf numFmtId="3" fontId="34" fillId="0" borderId="11" xfId="0" applyNumberFormat="1" applyFont="1" applyFill="1" applyBorder="1" applyAlignment="1">
      <alignment horizontal="center" vertical="center" wrapText="1"/>
    </xf>
    <xf numFmtId="3" fontId="34" fillId="0" borderId="9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37" borderId="12" xfId="0" applyNumberFormat="1" applyFont="1" applyFill="1" applyBorder="1" applyAlignment="1">
      <alignment horizontal="center" vertical="center" wrapText="1"/>
    </xf>
    <xf numFmtId="164" fontId="3" fillId="37" borderId="13" xfId="0" applyNumberFormat="1" applyFont="1" applyFill="1" applyBorder="1" applyAlignment="1">
      <alignment horizontal="center" vertical="center" wrapText="1"/>
    </xf>
    <xf numFmtId="164" fontId="3" fillId="37" borderId="10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0" fillId="37" borderId="32" xfId="0" applyFont="1" applyFill="1" applyBorder="1" applyAlignment="1">
      <alignment horizontal="center"/>
    </xf>
    <xf numFmtId="0" fontId="30" fillId="37" borderId="33" xfId="0" applyFont="1" applyFill="1" applyBorder="1" applyAlignment="1">
      <alignment horizontal="center"/>
    </xf>
    <xf numFmtId="0" fontId="30" fillId="37" borderId="34" xfId="0" applyFont="1" applyFill="1" applyBorder="1" applyAlignment="1">
      <alignment horizontal="center"/>
    </xf>
    <xf numFmtId="3" fontId="8" fillId="2" borderId="36" xfId="0" applyNumberFormat="1" applyFont="1" applyFill="1" applyBorder="1" applyAlignment="1">
      <alignment horizontal="left" vertical="center" wrapText="1"/>
    </xf>
    <xf numFmtId="3" fontId="8" fillId="2" borderId="24" xfId="0" applyNumberFormat="1" applyFont="1" applyFill="1" applyBorder="1" applyAlignment="1">
      <alignment horizontal="left" vertical="center" wrapText="1"/>
    </xf>
    <xf numFmtId="3" fontId="8" fillId="2" borderId="37" xfId="0" applyNumberFormat="1" applyFont="1" applyFill="1" applyBorder="1" applyAlignment="1">
      <alignment horizontal="left" vertical="center" wrapText="1"/>
    </xf>
    <xf numFmtId="43" fontId="3" fillId="0" borderId="18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 wrapText="1"/>
    </xf>
    <xf numFmtId="43" fontId="3" fillId="0" borderId="22" xfId="0" applyNumberFormat="1" applyFont="1" applyFill="1" applyBorder="1" applyAlignment="1">
      <alignment horizontal="center" vertical="center" wrapText="1"/>
    </xf>
    <xf numFmtId="43" fontId="3" fillId="0" borderId="19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34" fillId="0" borderId="27" xfId="0" applyNumberFormat="1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4" fontId="31" fillId="2" borderId="15" xfId="0" applyNumberFormat="1" applyFont="1" applyFill="1" applyBorder="1" applyAlignment="1">
      <alignment horizontal="center" vertical="center" wrapText="1"/>
    </xf>
    <xf numFmtId="4" fontId="31" fillId="2" borderId="6" xfId="0" applyNumberFormat="1" applyFont="1" applyFill="1" applyBorder="1" applyAlignment="1">
      <alignment horizontal="center" vertical="center" wrapText="1"/>
    </xf>
    <xf numFmtId="4" fontId="31" fillId="2" borderId="23" xfId="0" applyNumberFormat="1" applyFont="1" applyFill="1" applyBorder="1" applyAlignment="1">
      <alignment horizontal="center" vertical="center" wrapText="1"/>
    </xf>
    <xf numFmtId="4" fontId="31" fillId="2" borderId="47" xfId="0" applyNumberFormat="1" applyFont="1" applyFill="1" applyBorder="1" applyAlignment="1">
      <alignment horizontal="center" vertical="center" wrapText="1"/>
    </xf>
    <xf numFmtId="0" fontId="31" fillId="2" borderId="18" xfId="0" applyFont="1" applyFill="1" applyBorder="1" applyAlignment="1">
      <alignment horizontal="center" vertical="center" wrapText="1"/>
    </xf>
    <xf numFmtId="0" fontId="31" fillId="2" borderId="14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31" fillId="2" borderId="48" xfId="0" applyFont="1" applyFill="1" applyBorder="1" applyAlignment="1">
      <alignment horizontal="center" vertical="center" wrapText="1"/>
    </xf>
    <xf numFmtId="4" fontId="31" fillId="2" borderId="59" xfId="0" applyNumberFormat="1" applyFont="1" applyFill="1" applyBorder="1" applyAlignment="1">
      <alignment horizontal="center" vertical="center" wrapText="1"/>
    </xf>
    <xf numFmtId="4" fontId="31" fillId="2" borderId="60" xfId="0" applyNumberFormat="1" applyFont="1" applyFill="1" applyBorder="1" applyAlignment="1">
      <alignment horizontal="center" vertical="center" wrapText="1"/>
    </xf>
    <xf numFmtId="49" fontId="31" fillId="2" borderId="23" xfId="0" applyNumberFormat="1" applyFont="1" applyFill="1" applyBorder="1" applyAlignment="1">
      <alignment horizontal="center" vertical="center" wrapText="1"/>
    </xf>
    <xf numFmtId="49" fontId="31" fillId="2" borderId="50" xfId="0" applyNumberFormat="1" applyFont="1" applyFill="1" applyBorder="1" applyAlignment="1">
      <alignment horizontal="center" vertical="center" wrapText="1"/>
    </xf>
    <xf numFmtId="49" fontId="31" fillId="2" borderId="47" xfId="0" applyNumberFormat="1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0" borderId="57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36" borderId="12" xfId="0" applyFont="1" applyFill="1" applyBorder="1" applyAlignment="1">
      <alignment horizontal="center" vertical="center" wrapText="1"/>
    </xf>
    <xf numFmtId="0" fontId="32" fillId="36" borderId="10" xfId="0" applyFont="1" applyFill="1" applyBorder="1" applyAlignment="1">
      <alignment horizontal="center" vertical="center" wrapText="1"/>
    </xf>
    <xf numFmtId="0" fontId="32" fillId="35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35" borderId="3" xfId="0" applyFont="1" applyFill="1" applyBorder="1" applyAlignment="1">
      <alignment horizontal="center" vertical="center" wrapText="1"/>
    </xf>
    <xf numFmtId="0" fontId="32" fillId="35" borderId="7" xfId="0" applyFont="1" applyFill="1" applyBorder="1" applyAlignment="1">
      <alignment horizontal="center" vertical="center" wrapText="1"/>
    </xf>
    <xf numFmtId="0" fontId="32" fillId="0" borderId="48" xfId="0" applyFont="1" applyFill="1" applyBorder="1" applyAlignment="1">
      <alignment horizontal="center" vertical="center" wrapText="1"/>
    </xf>
    <xf numFmtId="0" fontId="32" fillId="35" borderId="4" xfId="0" applyFont="1" applyFill="1" applyBorder="1" applyAlignment="1">
      <alignment horizontal="center" vertical="center" wrapText="1"/>
    </xf>
    <xf numFmtId="49" fontId="31" fillId="2" borderId="17" xfId="0" applyNumberFormat="1" applyFont="1" applyFill="1" applyBorder="1" applyAlignment="1">
      <alignment horizontal="center" vertical="center" wrapText="1"/>
    </xf>
    <xf numFmtId="49" fontId="31" fillId="2" borderId="49" xfId="0" applyNumberFormat="1" applyFont="1" applyFill="1" applyBorder="1" applyAlignment="1">
      <alignment horizontal="center" vertical="center" wrapText="1"/>
    </xf>
    <xf numFmtId="0" fontId="32" fillId="35" borderId="3" xfId="0" applyFont="1" applyFill="1" applyBorder="1" applyAlignment="1">
      <alignment horizontal="center" vertical="center"/>
    </xf>
    <xf numFmtId="0" fontId="32" fillId="35" borderId="7" xfId="0" applyFont="1" applyFill="1" applyBorder="1" applyAlignment="1">
      <alignment horizontal="center" vertical="center"/>
    </xf>
    <xf numFmtId="0" fontId="32" fillId="35" borderId="4" xfId="0" applyFont="1" applyFill="1" applyBorder="1" applyAlignment="1">
      <alignment horizontal="center" vertical="center"/>
    </xf>
    <xf numFmtId="49" fontId="31" fillId="2" borderId="16" xfId="0" applyNumberFormat="1" applyFont="1" applyFill="1" applyBorder="1" applyAlignment="1">
      <alignment horizontal="center" vertical="center" wrapText="1"/>
    </xf>
    <xf numFmtId="49" fontId="31" fillId="2" borderId="48" xfId="0" applyNumberFormat="1" applyFont="1" applyFill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 wrapText="1"/>
    </xf>
    <xf numFmtId="0" fontId="32" fillId="36" borderId="12" xfId="0" applyFont="1" applyFill="1" applyBorder="1" applyAlignment="1">
      <alignment horizontal="center" vertical="center"/>
    </xf>
    <xf numFmtId="0" fontId="32" fillId="36" borderId="13" xfId="0" applyFont="1" applyFill="1" applyBorder="1" applyAlignment="1">
      <alignment horizontal="center" vertical="center"/>
    </xf>
    <xf numFmtId="0" fontId="32" fillId="36" borderId="10" xfId="0" applyFont="1" applyFill="1" applyBorder="1" applyAlignment="1">
      <alignment horizontal="center" vertical="center"/>
    </xf>
    <xf numFmtId="0" fontId="32" fillId="36" borderId="13" xfId="0" applyFont="1" applyFill="1" applyBorder="1" applyAlignment="1">
      <alignment horizontal="center" vertical="center"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Excel Built-in Normal" xfId="46" xr:uid="{00000000-0005-0000-0000-000033000000}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_zakaznik_Faktura_priloha_020_2006_SSS_005_000_0705" xfId="44" xr:uid="{00000000-0005-0000-0000-000032000000}"/>
    <cellStyle name="Normální" xfId="0" builtinId="0"/>
    <cellStyle name="Normální 2" xfId="42" xr:uid="{00000000-0005-0000-0000-00002F000000}"/>
    <cellStyle name="Normální 2 2" xfId="45" xr:uid="{00000000-0005-0000-0000-000035000000}"/>
    <cellStyle name="Normální 3" xfId="43" xr:uid="{00000000-0005-0000-0000-000033000000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F74919"/>
      <color rgb="FFFFC1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2C122-DCF8-4968-85AC-A49CDC143AAE}">
  <sheetPr>
    <pageSetUpPr fitToPage="1"/>
  </sheetPr>
  <dimension ref="A1:AV84"/>
  <sheetViews>
    <sheetView tabSelected="1" zoomScale="120" zoomScaleNormal="120" workbookViewId="0">
      <pane xSplit="13" ySplit="1" topLeftCell="N2" activePane="bottomRight" state="frozen"/>
      <selection pane="topRight" activeCell="N1" sqref="N1"/>
      <selection pane="bottomLeft" activeCell="A2" sqref="A2"/>
      <selection pane="bottomRight" activeCell="P21" sqref="P21"/>
    </sheetView>
  </sheetViews>
  <sheetFormatPr defaultColWidth="27.28515625" defaultRowHeight="12.75" x14ac:dyDescent="0.25"/>
  <cols>
    <col min="1" max="1" width="4.85546875" style="1" customWidth="1"/>
    <col min="2" max="2" width="24.28515625" style="3" hidden="1" customWidth="1"/>
    <col min="3" max="3" width="25.5703125" style="1" customWidth="1"/>
    <col min="4" max="4" width="30.85546875" style="2" hidden="1" customWidth="1"/>
    <col min="5" max="5" width="38.42578125" style="2" hidden="1" customWidth="1"/>
    <col min="6" max="6" width="40.28515625" style="2" hidden="1" customWidth="1"/>
    <col min="7" max="7" width="24.7109375" style="2" hidden="1" customWidth="1"/>
    <col min="8" max="8" width="9.7109375" style="1" hidden="1" customWidth="1"/>
    <col min="9" max="9" width="11.5703125" style="3" hidden="1" customWidth="1"/>
    <col min="10" max="10" width="13.7109375" style="3" hidden="1" customWidth="1"/>
    <col min="11" max="11" width="25.42578125" style="2" hidden="1" customWidth="1"/>
    <col min="12" max="12" width="12.85546875" style="4" hidden="1" customWidth="1"/>
    <col min="13" max="13" width="75.42578125" style="1" hidden="1" customWidth="1"/>
    <col min="14" max="26" width="8.7109375" style="3" customWidth="1"/>
    <col min="27" max="27" width="9.85546875" style="36" customWidth="1"/>
    <col min="28" max="48" width="8.7109375" style="3" customWidth="1"/>
    <col min="49" max="16384" width="27.28515625" style="1"/>
  </cols>
  <sheetData>
    <row r="1" spans="1:48" s="7" customFormat="1" ht="13.9" customHeight="1" x14ac:dyDescent="0.25">
      <c r="A1" s="315" t="s">
        <v>82</v>
      </c>
      <c r="B1" s="300" t="s">
        <v>696</v>
      </c>
      <c r="C1" s="300" t="s">
        <v>85</v>
      </c>
      <c r="D1" s="300" t="s">
        <v>83</v>
      </c>
      <c r="E1" s="300" t="s">
        <v>68</v>
      </c>
      <c r="F1" s="300" t="s">
        <v>664</v>
      </c>
      <c r="G1" s="300" t="s">
        <v>84</v>
      </c>
      <c r="H1" s="300" t="s">
        <v>234</v>
      </c>
      <c r="I1" s="300" t="s">
        <v>105</v>
      </c>
      <c r="J1" s="300" t="s">
        <v>299</v>
      </c>
      <c r="K1" s="300" t="s">
        <v>113</v>
      </c>
      <c r="L1" s="300" t="s">
        <v>114</v>
      </c>
      <c r="M1" s="302" t="s">
        <v>86</v>
      </c>
      <c r="N1" s="309" t="s">
        <v>310</v>
      </c>
      <c r="O1" s="310"/>
      <c r="P1" s="310"/>
      <c r="Q1" s="310"/>
      <c r="R1" s="310"/>
      <c r="S1" s="310"/>
      <c r="T1" s="311"/>
      <c r="U1" s="309" t="s">
        <v>311</v>
      </c>
      <c r="V1" s="310"/>
      <c r="W1" s="310"/>
      <c r="X1" s="310"/>
      <c r="Y1" s="310"/>
      <c r="Z1" s="310"/>
      <c r="AA1" s="311"/>
      <c r="AB1" s="309" t="s">
        <v>312</v>
      </c>
      <c r="AC1" s="310"/>
      <c r="AD1" s="310"/>
      <c r="AE1" s="310"/>
      <c r="AF1" s="310"/>
      <c r="AG1" s="310"/>
      <c r="AH1" s="311"/>
      <c r="AI1" s="309" t="s">
        <v>313</v>
      </c>
      <c r="AJ1" s="310"/>
      <c r="AK1" s="310"/>
      <c r="AL1" s="310"/>
      <c r="AM1" s="310"/>
      <c r="AN1" s="310"/>
      <c r="AO1" s="311"/>
      <c r="AP1" s="309" t="s">
        <v>314</v>
      </c>
      <c r="AQ1" s="310"/>
      <c r="AR1" s="310"/>
      <c r="AS1" s="310"/>
      <c r="AT1" s="310"/>
      <c r="AU1" s="310"/>
      <c r="AV1" s="311"/>
    </row>
    <row r="2" spans="1:48" s="7" customFormat="1" ht="14.25" customHeight="1" thickBot="1" x14ac:dyDescent="0.3">
      <c r="A2" s="316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3"/>
      <c r="N2" s="139">
        <v>2019</v>
      </c>
      <c r="O2" s="138">
        <v>2020</v>
      </c>
      <c r="P2" s="138">
        <v>2021</v>
      </c>
      <c r="Q2" s="138">
        <v>2022</v>
      </c>
      <c r="R2" s="138">
        <v>2023</v>
      </c>
      <c r="S2" s="138">
        <v>2024</v>
      </c>
      <c r="T2" s="17">
        <v>2025</v>
      </c>
      <c r="U2" s="139">
        <v>2019</v>
      </c>
      <c r="V2" s="138">
        <v>2020</v>
      </c>
      <c r="W2" s="138">
        <v>2021</v>
      </c>
      <c r="X2" s="138">
        <v>2022</v>
      </c>
      <c r="Y2" s="138">
        <v>2023</v>
      </c>
      <c r="Z2" s="138">
        <v>2024</v>
      </c>
      <c r="AA2" s="34">
        <v>2025</v>
      </c>
      <c r="AB2" s="139">
        <v>2019</v>
      </c>
      <c r="AC2" s="138">
        <v>2020</v>
      </c>
      <c r="AD2" s="138">
        <v>2021</v>
      </c>
      <c r="AE2" s="138">
        <v>2022</v>
      </c>
      <c r="AF2" s="138">
        <v>2023</v>
      </c>
      <c r="AG2" s="138">
        <v>2024</v>
      </c>
      <c r="AH2" s="17">
        <v>2025</v>
      </c>
      <c r="AI2" s="139">
        <v>2019</v>
      </c>
      <c r="AJ2" s="138">
        <v>2020</v>
      </c>
      <c r="AK2" s="138">
        <v>2021</v>
      </c>
      <c r="AL2" s="138">
        <v>2022</v>
      </c>
      <c r="AM2" s="138">
        <v>2023</v>
      </c>
      <c r="AN2" s="138">
        <v>2024</v>
      </c>
      <c r="AO2" s="17">
        <v>2025</v>
      </c>
      <c r="AP2" s="139">
        <v>2019</v>
      </c>
      <c r="AQ2" s="138">
        <v>2020</v>
      </c>
      <c r="AR2" s="138">
        <v>2021</v>
      </c>
      <c r="AS2" s="138">
        <v>2022</v>
      </c>
      <c r="AT2" s="138">
        <v>2023</v>
      </c>
      <c r="AU2" s="138">
        <v>2024</v>
      </c>
      <c r="AV2" s="17">
        <v>2025</v>
      </c>
    </row>
    <row r="3" spans="1:48" s="5" customFormat="1" ht="14.25" customHeight="1" x14ac:dyDescent="0.25">
      <c r="A3" s="292" t="s">
        <v>251</v>
      </c>
      <c r="B3" s="291" t="s">
        <v>187</v>
      </c>
      <c r="C3" s="22" t="s">
        <v>191</v>
      </c>
      <c r="D3" s="18" t="s">
        <v>0</v>
      </c>
      <c r="E3" s="290" t="s">
        <v>70</v>
      </c>
      <c r="F3" s="290" t="s">
        <v>70</v>
      </c>
      <c r="G3" s="19" t="s">
        <v>5</v>
      </c>
      <c r="H3" s="20">
        <v>4</v>
      </c>
      <c r="I3" s="273">
        <v>2858.2</v>
      </c>
      <c r="J3" s="189" t="s">
        <v>300</v>
      </c>
      <c r="K3" s="291" t="s">
        <v>204</v>
      </c>
      <c r="L3" s="21">
        <v>20</v>
      </c>
      <c r="M3" s="307" t="s">
        <v>99</v>
      </c>
      <c r="N3" s="312">
        <v>138.87799999999999</v>
      </c>
      <c r="O3" s="313">
        <v>141.226</v>
      </c>
      <c r="P3" s="313">
        <v>119.316</v>
      </c>
      <c r="Q3" s="313">
        <v>122.111</v>
      </c>
      <c r="R3" s="313">
        <v>110.405</v>
      </c>
      <c r="S3" s="313">
        <v>105.498</v>
      </c>
      <c r="T3" s="314">
        <f>('2025'!AG6+'2025'!AG7)/1000</f>
        <v>42.088999999999999</v>
      </c>
      <c r="U3" s="73"/>
      <c r="V3" s="74"/>
      <c r="W3" s="74"/>
      <c r="X3" s="74"/>
      <c r="Y3" s="74"/>
      <c r="Z3" s="74"/>
      <c r="AA3" s="75"/>
      <c r="AB3" s="312">
        <f>AC3</f>
        <v>947.36</v>
      </c>
      <c r="AC3" s="313">
        <v>947.36</v>
      </c>
      <c r="AD3" s="313">
        <v>1122.588</v>
      </c>
      <c r="AE3" s="313">
        <v>992.52</v>
      </c>
      <c r="AF3" s="313">
        <v>904.22</v>
      </c>
      <c r="AG3" s="313">
        <v>833.7</v>
      </c>
      <c r="AH3" s="314">
        <f>'2025'!AG4/3.6</f>
        <v>146.51944444444442</v>
      </c>
      <c r="AI3" s="73"/>
      <c r="AJ3" s="74"/>
      <c r="AK3" s="74"/>
      <c r="AL3" s="74"/>
      <c r="AM3" s="74"/>
      <c r="AN3" s="74"/>
      <c r="AO3" s="75"/>
      <c r="AP3" s="157"/>
      <c r="AQ3" s="156">
        <v>92</v>
      </c>
      <c r="AR3" s="156">
        <v>56</v>
      </c>
      <c r="AS3" s="156">
        <v>59.029000000000003</v>
      </c>
      <c r="AT3" s="156">
        <v>58.838000000000001</v>
      </c>
      <c r="AU3" s="96">
        <v>62</v>
      </c>
      <c r="AV3" s="161">
        <f>'2025'!AG3</f>
        <v>32</v>
      </c>
    </row>
    <row r="4" spans="1:48" s="5" customFormat="1" ht="14.65" customHeight="1" x14ac:dyDescent="0.25">
      <c r="A4" s="293"/>
      <c r="B4" s="284"/>
      <c r="C4" s="9" t="s">
        <v>192</v>
      </c>
      <c r="D4" s="10" t="s">
        <v>0</v>
      </c>
      <c r="E4" s="288"/>
      <c r="F4" s="288"/>
      <c r="G4" s="12" t="s">
        <v>5</v>
      </c>
      <c r="H4" s="8">
        <v>3</v>
      </c>
      <c r="I4" s="274"/>
      <c r="J4" s="14" t="s">
        <v>301</v>
      </c>
      <c r="K4" s="284"/>
      <c r="L4" s="12">
        <v>47</v>
      </c>
      <c r="M4" s="308"/>
      <c r="N4" s="265"/>
      <c r="O4" s="259"/>
      <c r="P4" s="259"/>
      <c r="Q4" s="259"/>
      <c r="R4" s="259"/>
      <c r="S4" s="259"/>
      <c r="T4" s="243"/>
      <c r="U4" s="76"/>
      <c r="V4" s="77"/>
      <c r="W4" s="77"/>
      <c r="X4" s="77"/>
      <c r="Y4" s="77"/>
      <c r="Z4" s="77"/>
      <c r="AA4" s="78"/>
      <c r="AB4" s="265"/>
      <c r="AC4" s="259"/>
      <c r="AD4" s="259"/>
      <c r="AE4" s="259"/>
      <c r="AF4" s="259"/>
      <c r="AG4" s="259"/>
      <c r="AH4" s="243"/>
      <c r="AI4" s="76"/>
      <c r="AJ4" s="77"/>
      <c r="AK4" s="77"/>
      <c r="AL4" s="77"/>
      <c r="AM4" s="77"/>
      <c r="AN4" s="77"/>
      <c r="AO4" s="78"/>
      <c r="AP4" s="158"/>
      <c r="AQ4" s="193">
        <v>446.02300000000002</v>
      </c>
      <c r="AR4" s="193">
        <v>486</v>
      </c>
      <c r="AS4" s="193">
        <v>602.76499999999999</v>
      </c>
      <c r="AT4" s="193">
        <v>501.01900000000001</v>
      </c>
      <c r="AU4" s="193">
        <v>501</v>
      </c>
      <c r="AV4" s="162">
        <f>'2025'!AG5</f>
        <v>216.10000000000582</v>
      </c>
    </row>
    <row r="5" spans="1:48" s="5" customFormat="1" ht="14.65" customHeight="1" x14ac:dyDescent="0.25">
      <c r="A5" s="293"/>
      <c r="B5" s="284"/>
      <c r="C5" s="9" t="s">
        <v>193</v>
      </c>
      <c r="D5" s="10" t="s">
        <v>6</v>
      </c>
      <c r="E5" s="289"/>
      <c r="F5" s="289"/>
      <c r="G5" s="12" t="s">
        <v>5</v>
      </c>
      <c r="H5" s="8">
        <v>4</v>
      </c>
      <c r="I5" s="14">
        <v>982.5</v>
      </c>
      <c r="J5" s="14" t="s">
        <v>300</v>
      </c>
      <c r="K5" s="285"/>
      <c r="L5" s="12">
        <v>26</v>
      </c>
      <c r="M5" s="308"/>
      <c r="N5" s="266"/>
      <c r="O5" s="260"/>
      <c r="P5" s="260"/>
      <c r="Q5" s="260"/>
      <c r="R5" s="260"/>
      <c r="S5" s="260"/>
      <c r="T5" s="244"/>
      <c r="U5" s="76"/>
      <c r="V5" s="77"/>
      <c r="W5" s="77"/>
      <c r="X5" s="77"/>
      <c r="Y5" s="77"/>
      <c r="Z5" s="77"/>
      <c r="AA5" s="78"/>
      <c r="AB5" s="266"/>
      <c r="AC5" s="260"/>
      <c r="AD5" s="260"/>
      <c r="AE5" s="260"/>
      <c r="AF5" s="260"/>
      <c r="AG5" s="260"/>
      <c r="AH5" s="244"/>
      <c r="AI5" s="76"/>
      <c r="AJ5" s="77"/>
      <c r="AK5" s="77"/>
      <c r="AL5" s="77"/>
      <c r="AM5" s="77"/>
      <c r="AN5" s="77"/>
      <c r="AO5" s="78"/>
      <c r="AP5" s="159"/>
      <c r="AQ5" s="193">
        <v>155</v>
      </c>
      <c r="AR5" s="193">
        <v>182</v>
      </c>
      <c r="AS5" s="193">
        <v>211.523</v>
      </c>
      <c r="AT5" s="193">
        <v>228.24700000000001</v>
      </c>
      <c r="AU5" s="193">
        <v>148</v>
      </c>
      <c r="AV5" s="162">
        <f>'2025'!AG8</f>
        <v>62</v>
      </c>
    </row>
    <row r="6" spans="1:48" s="5" customFormat="1" ht="14.65" customHeight="1" x14ac:dyDescent="0.25">
      <c r="A6" s="192" t="s">
        <v>252</v>
      </c>
      <c r="B6" s="284"/>
      <c r="C6" s="9" t="s">
        <v>17</v>
      </c>
      <c r="D6" s="10" t="s">
        <v>18</v>
      </c>
      <c r="E6" s="11" t="s">
        <v>70</v>
      </c>
      <c r="F6" s="11" t="s">
        <v>70</v>
      </c>
      <c r="G6" s="12" t="s">
        <v>202</v>
      </c>
      <c r="H6" s="8">
        <v>3</v>
      </c>
      <c r="I6" s="14">
        <v>2073.1</v>
      </c>
      <c r="J6" s="14" t="s">
        <v>301</v>
      </c>
      <c r="K6" s="12" t="s">
        <v>145</v>
      </c>
      <c r="L6" s="12" t="s">
        <v>116</v>
      </c>
      <c r="M6" s="16" t="s">
        <v>95</v>
      </c>
      <c r="N6" s="33">
        <v>35.141999999999996</v>
      </c>
      <c r="O6" s="194">
        <v>37.82</v>
      </c>
      <c r="P6" s="194">
        <v>27.14</v>
      </c>
      <c r="Q6" s="194">
        <v>27.21</v>
      </c>
      <c r="R6" s="194">
        <v>29.083000000000002</v>
      </c>
      <c r="S6" s="194">
        <v>31.2</v>
      </c>
      <c r="T6" s="160">
        <f>('2025'!AG9+'2025'!AG10)/1000</f>
        <v>11.744</v>
      </c>
      <c r="U6" s="76"/>
      <c r="V6" s="77"/>
      <c r="W6" s="77"/>
      <c r="X6" s="77"/>
      <c r="Y6" s="77"/>
      <c r="Z6" s="77"/>
      <c r="AA6" s="78"/>
      <c r="AB6" s="33">
        <v>725.25</v>
      </c>
      <c r="AC6" s="194">
        <v>650.7650000000001</v>
      </c>
      <c r="AD6" s="194">
        <v>912.84</v>
      </c>
      <c r="AE6" s="194">
        <v>756.25</v>
      </c>
      <c r="AF6" s="194">
        <v>657.56</v>
      </c>
      <c r="AG6" s="194">
        <v>647.04999999999995</v>
      </c>
      <c r="AH6" s="160">
        <f>'2025'!AG11/3.6</f>
        <v>147.9</v>
      </c>
      <c r="AI6" s="76"/>
      <c r="AJ6" s="77"/>
      <c r="AK6" s="77"/>
      <c r="AL6" s="77"/>
      <c r="AM6" s="77"/>
      <c r="AN6" s="77"/>
      <c r="AO6" s="78"/>
      <c r="AP6" s="76"/>
      <c r="AQ6" s="193">
        <v>403.43</v>
      </c>
      <c r="AR6" s="193">
        <v>294</v>
      </c>
      <c r="AS6" s="193">
        <v>325</v>
      </c>
      <c r="AT6" s="193">
        <v>287.33999999999997</v>
      </c>
      <c r="AU6" s="193">
        <v>274</v>
      </c>
      <c r="AV6" s="162">
        <f>'2025'!AG12</f>
        <v>118</v>
      </c>
    </row>
    <row r="7" spans="1:48" s="5" customFormat="1" ht="14.65" customHeight="1" x14ac:dyDescent="0.25">
      <c r="A7" s="192" t="s">
        <v>253</v>
      </c>
      <c r="B7" s="284"/>
      <c r="C7" s="9" t="s">
        <v>19</v>
      </c>
      <c r="D7" s="10" t="s">
        <v>21</v>
      </c>
      <c r="E7" s="11" t="s">
        <v>70</v>
      </c>
      <c r="F7" s="11" t="s">
        <v>70</v>
      </c>
      <c r="G7" s="12" t="s">
        <v>23</v>
      </c>
      <c r="H7" s="8">
        <v>4</v>
      </c>
      <c r="I7" s="14">
        <v>1297.4000000000001</v>
      </c>
      <c r="J7" s="14" t="s">
        <v>301</v>
      </c>
      <c r="K7" s="12" t="s">
        <v>146</v>
      </c>
      <c r="L7" s="12" t="s">
        <v>117</v>
      </c>
      <c r="M7" s="16" t="s">
        <v>219</v>
      </c>
      <c r="N7" s="33">
        <v>17.791</v>
      </c>
      <c r="O7" s="194">
        <v>19.77</v>
      </c>
      <c r="P7" s="194">
        <v>16.82</v>
      </c>
      <c r="Q7" s="194">
        <v>15.24</v>
      </c>
      <c r="R7" s="194">
        <v>17.468</v>
      </c>
      <c r="S7" s="194">
        <v>16.021999999999998</v>
      </c>
      <c r="T7" s="160">
        <f>'2025'!AG13/1000</f>
        <v>6.1660000000000004</v>
      </c>
      <c r="U7" s="76"/>
      <c r="V7" s="77"/>
      <c r="W7" s="77"/>
      <c r="X7" s="77"/>
      <c r="Y7" s="77"/>
      <c r="Z7" s="77"/>
      <c r="AA7" s="78"/>
      <c r="AB7" s="33">
        <v>269.60000000000002</v>
      </c>
      <c r="AC7" s="194">
        <v>298.72199999999998</v>
      </c>
      <c r="AD7" s="194">
        <v>376.90999999999997</v>
      </c>
      <c r="AE7" s="194">
        <v>332.54999999999995</v>
      </c>
      <c r="AF7" s="194">
        <v>281.75</v>
      </c>
      <c r="AG7" s="194">
        <v>197.85</v>
      </c>
      <c r="AH7" s="160">
        <f>'2025'!AG14/3.6</f>
        <v>0</v>
      </c>
      <c r="AI7" s="76"/>
      <c r="AJ7" s="77"/>
      <c r="AK7" s="77"/>
      <c r="AL7" s="77"/>
      <c r="AM7" s="77"/>
      <c r="AN7" s="77"/>
      <c r="AO7" s="78"/>
      <c r="AP7" s="76"/>
      <c r="AQ7" s="193">
        <v>161</v>
      </c>
      <c r="AR7" s="193">
        <v>145</v>
      </c>
      <c r="AS7" s="193">
        <v>126</v>
      </c>
      <c r="AT7" s="193">
        <v>98.64</v>
      </c>
      <c r="AU7" s="193">
        <v>92</v>
      </c>
      <c r="AV7" s="162">
        <f>'2025'!AG15</f>
        <v>37</v>
      </c>
    </row>
    <row r="8" spans="1:48" s="5" customFormat="1" ht="14.65" customHeight="1" x14ac:dyDescent="0.25">
      <c r="A8" s="192" t="s">
        <v>254</v>
      </c>
      <c r="B8" s="284"/>
      <c r="C8" s="9" t="s">
        <v>54</v>
      </c>
      <c r="D8" s="10" t="s">
        <v>13</v>
      </c>
      <c r="E8" s="11" t="s">
        <v>70</v>
      </c>
      <c r="F8" s="11" t="s">
        <v>705</v>
      </c>
      <c r="G8" s="12" t="s">
        <v>203</v>
      </c>
      <c r="H8" s="8">
        <v>2</v>
      </c>
      <c r="I8" s="152">
        <v>597.6</v>
      </c>
      <c r="J8" s="14" t="s">
        <v>306</v>
      </c>
      <c r="K8" s="12" t="s">
        <v>140</v>
      </c>
      <c r="L8" s="12" t="s">
        <v>119</v>
      </c>
      <c r="M8" s="16" t="s">
        <v>220</v>
      </c>
      <c r="N8" s="33">
        <v>13.071</v>
      </c>
      <c r="O8" s="194">
        <v>12.89</v>
      </c>
      <c r="P8" s="194">
        <v>13.99</v>
      </c>
      <c r="Q8" s="194">
        <v>12</v>
      </c>
      <c r="R8" s="194">
        <v>10.664999999999999</v>
      </c>
      <c r="S8" s="194">
        <v>10.916</v>
      </c>
      <c r="T8" s="160">
        <f>'2025'!AG16/1000</f>
        <v>5.19</v>
      </c>
      <c r="U8" s="33">
        <v>0</v>
      </c>
      <c r="V8" s="194">
        <v>0</v>
      </c>
      <c r="W8" s="194">
        <v>0</v>
      </c>
      <c r="X8" s="194">
        <v>0</v>
      </c>
      <c r="Y8" s="194">
        <v>0</v>
      </c>
      <c r="Z8" s="194">
        <v>0</v>
      </c>
      <c r="AA8" s="160">
        <f>'2025'!AG17/1000*$N$62</f>
        <v>0</v>
      </c>
      <c r="AB8" s="33">
        <v>128.36000000000001</v>
      </c>
      <c r="AC8" s="194">
        <v>112.392</v>
      </c>
      <c r="AD8" s="194">
        <v>80.16</v>
      </c>
      <c r="AE8" s="194">
        <v>65.98</v>
      </c>
      <c r="AF8" s="194">
        <v>57.8</v>
      </c>
      <c r="AG8" s="194">
        <v>60.38</v>
      </c>
      <c r="AH8" s="160">
        <f>'2025'!AG18/3.6</f>
        <v>10.222222222222221</v>
      </c>
      <c r="AI8" s="76"/>
      <c r="AJ8" s="77"/>
      <c r="AK8" s="77"/>
      <c r="AL8" s="77"/>
      <c r="AM8" s="77"/>
      <c r="AN8" s="77"/>
      <c r="AO8" s="78"/>
      <c r="AP8" s="76"/>
      <c r="AQ8" s="193">
        <v>126</v>
      </c>
      <c r="AR8" s="193">
        <v>119</v>
      </c>
      <c r="AS8" s="193">
        <v>107</v>
      </c>
      <c r="AT8" s="193">
        <v>90</v>
      </c>
      <c r="AU8" s="193">
        <v>103.6</v>
      </c>
      <c r="AV8" s="162">
        <f>'2025'!AG19</f>
        <v>48</v>
      </c>
    </row>
    <row r="9" spans="1:48" s="5" customFormat="1" ht="15.75" customHeight="1" x14ac:dyDescent="0.25">
      <c r="A9" s="86"/>
      <c r="B9" s="284"/>
      <c r="C9" s="79" t="s">
        <v>148</v>
      </c>
      <c r="D9" s="80" t="s">
        <v>14</v>
      </c>
      <c r="E9" s="81" t="s">
        <v>70</v>
      </c>
      <c r="F9" s="81"/>
      <c r="G9" s="82" t="s">
        <v>207</v>
      </c>
      <c r="H9" s="83">
        <v>2</v>
      </c>
      <c r="I9" s="84">
        <v>266.5</v>
      </c>
      <c r="J9" s="84" t="s">
        <v>303</v>
      </c>
      <c r="K9" s="82" t="s">
        <v>140</v>
      </c>
      <c r="L9" s="82">
        <v>10</v>
      </c>
      <c r="M9" s="85" t="s">
        <v>221</v>
      </c>
      <c r="N9" s="33">
        <v>14.717000000000001</v>
      </c>
      <c r="O9" s="194">
        <v>14.2</v>
      </c>
      <c r="P9" s="194">
        <v>16.28</v>
      </c>
      <c r="Q9" s="194">
        <v>14.824</v>
      </c>
      <c r="R9" s="194">
        <v>13.218999999999999</v>
      </c>
      <c r="S9" s="194">
        <v>13.079000000000001</v>
      </c>
      <c r="T9" s="160">
        <f>('2025'!AG20+'2025'!AG21+'2025'!AG22)/1000</f>
        <v>0</v>
      </c>
      <c r="U9" s="70"/>
      <c r="V9" s="71"/>
      <c r="W9" s="71"/>
      <c r="X9" s="71"/>
      <c r="Y9" s="71"/>
      <c r="Z9" s="71"/>
      <c r="AA9" s="72"/>
      <c r="AB9" s="76"/>
      <c r="AC9" s="77"/>
      <c r="AD9" s="77"/>
      <c r="AE9" s="77"/>
      <c r="AF9" s="77"/>
      <c r="AG9" s="77"/>
      <c r="AH9" s="78"/>
      <c r="AI9" s="76"/>
      <c r="AJ9" s="77"/>
      <c r="AK9" s="77"/>
      <c r="AL9" s="77"/>
      <c r="AM9" s="77"/>
      <c r="AN9" s="77"/>
      <c r="AO9" s="78"/>
      <c r="AP9" s="70"/>
      <c r="AQ9" s="97">
        <v>50</v>
      </c>
      <c r="AR9" s="97">
        <v>60</v>
      </c>
      <c r="AS9" s="97">
        <v>69</v>
      </c>
      <c r="AT9" s="97">
        <v>65</v>
      </c>
      <c r="AU9" s="97">
        <v>32</v>
      </c>
      <c r="AV9" s="163">
        <f>'2025'!AG23</f>
        <v>0</v>
      </c>
    </row>
    <row r="10" spans="1:48" s="5" customFormat="1" ht="14.65" customHeight="1" x14ac:dyDescent="0.25">
      <c r="A10" s="192" t="s">
        <v>255</v>
      </c>
      <c r="B10" s="284"/>
      <c r="C10" s="9" t="s">
        <v>25</v>
      </c>
      <c r="D10" s="10" t="s">
        <v>26</v>
      </c>
      <c r="E10" s="11" t="s">
        <v>70</v>
      </c>
      <c r="F10" s="11" t="s">
        <v>70</v>
      </c>
      <c r="G10" s="12" t="s">
        <v>29</v>
      </c>
      <c r="H10" s="8">
        <v>4</v>
      </c>
      <c r="I10" s="14">
        <v>1820.6</v>
      </c>
      <c r="J10" s="14" t="s">
        <v>300</v>
      </c>
      <c r="K10" s="12" t="s">
        <v>140</v>
      </c>
      <c r="L10" s="12" t="s">
        <v>127</v>
      </c>
      <c r="M10" s="16" t="s">
        <v>222</v>
      </c>
      <c r="N10" s="33">
        <v>58.237000000000002</v>
      </c>
      <c r="O10" s="194">
        <v>50.3</v>
      </c>
      <c r="P10" s="194">
        <v>37.630000000000003</v>
      </c>
      <c r="Q10" s="194">
        <v>34.64</v>
      </c>
      <c r="R10" s="194">
        <v>35.478000000000002</v>
      </c>
      <c r="S10" s="194">
        <v>4.3659999999999997</v>
      </c>
      <c r="T10" s="160">
        <f>'2025'!AG24/1000</f>
        <v>2.3140000000000001</v>
      </c>
      <c r="U10" s="33">
        <v>8.2170000000000005</v>
      </c>
      <c r="V10" s="194">
        <v>15.87</v>
      </c>
      <c r="W10" s="194">
        <v>11.8</v>
      </c>
      <c r="X10" s="194">
        <v>9.49</v>
      </c>
      <c r="Y10" s="194">
        <v>6.7940000000000005</v>
      </c>
      <c r="Z10" s="194">
        <v>0</v>
      </c>
      <c r="AA10" s="173"/>
      <c r="AB10" s="33">
        <v>758.61599999999999</v>
      </c>
      <c r="AC10" s="194">
        <v>814.41600000000005</v>
      </c>
      <c r="AD10" s="194">
        <v>924.36400000000003</v>
      </c>
      <c r="AE10" s="194">
        <v>845.67</v>
      </c>
      <c r="AF10" s="197">
        <v>678.56299999999999</v>
      </c>
      <c r="AG10" s="197">
        <v>390.27</v>
      </c>
      <c r="AH10" s="160">
        <f>'2025'!AG26/3.6</f>
        <v>36.805555555555557</v>
      </c>
      <c r="AI10" s="76"/>
      <c r="AJ10" s="77"/>
      <c r="AK10" s="77"/>
      <c r="AL10" s="77"/>
      <c r="AM10" s="77"/>
      <c r="AN10" s="77"/>
      <c r="AO10" s="78"/>
      <c r="AP10" s="76"/>
      <c r="AQ10" s="193">
        <v>3534</v>
      </c>
      <c r="AR10" s="193">
        <v>2551</v>
      </c>
      <c r="AS10" s="193">
        <v>540.20000000000005</v>
      </c>
      <c r="AT10" s="193">
        <v>360</v>
      </c>
      <c r="AU10" s="193">
        <v>713</v>
      </c>
      <c r="AV10" s="162">
        <f>'2025'!AG27</f>
        <v>302</v>
      </c>
    </row>
    <row r="11" spans="1:48" s="5" customFormat="1" ht="14.65" customHeight="1" x14ac:dyDescent="0.25">
      <c r="A11" s="86"/>
      <c r="B11" s="284"/>
      <c r="C11" s="79" t="s">
        <v>40</v>
      </c>
      <c r="D11" s="80" t="s">
        <v>41</v>
      </c>
      <c r="E11" s="81" t="s">
        <v>70</v>
      </c>
      <c r="F11" s="81"/>
      <c r="G11" s="82" t="s">
        <v>206</v>
      </c>
      <c r="H11" s="83">
        <v>4</v>
      </c>
      <c r="I11" s="84">
        <v>453.5</v>
      </c>
      <c r="J11" s="84" t="s">
        <v>304</v>
      </c>
      <c r="K11" s="82" t="s">
        <v>147</v>
      </c>
      <c r="L11" s="82">
        <v>6</v>
      </c>
      <c r="M11" s="85" t="s">
        <v>223</v>
      </c>
      <c r="N11" s="70">
        <v>5.5129999999999999</v>
      </c>
      <c r="O11" s="71">
        <v>4.84</v>
      </c>
      <c r="P11" s="71">
        <v>5.12</v>
      </c>
      <c r="Q11" s="71">
        <v>7.26</v>
      </c>
      <c r="R11" s="71">
        <v>8.6189999999999998</v>
      </c>
      <c r="S11" s="71">
        <v>7.8150000000000004</v>
      </c>
      <c r="T11" s="160">
        <f>('2025'!AG28+'2025'!AG29)/1000</f>
        <v>0</v>
      </c>
      <c r="U11" s="70">
        <v>62.677940000000007</v>
      </c>
      <c r="V11" s="71">
        <v>65.06</v>
      </c>
      <c r="W11" s="71">
        <v>65.430000000000007</v>
      </c>
      <c r="X11" s="71">
        <v>63.54</v>
      </c>
      <c r="Y11" s="71">
        <v>63.134450000000001</v>
      </c>
      <c r="Z11" s="71">
        <v>55.000900000000001</v>
      </c>
      <c r="AA11" s="160">
        <f>'2025'!AG30/1000*$N$62</f>
        <v>33.316103686999995</v>
      </c>
      <c r="AB11" s="76"/>
      <c r="AC11" s="77"/>
      <c r="AD11" s="77"/>
      <c r="AE11" s="77"/>
      <c r="AF11" s="77"/>
      <c r="AG11" s="77"/>
      <c r="AH11" s="78"/>
      <c r="AI11" s="76"/>
      <c r="AJ11" s="77"/>
      <c r="AK11" s="77"/>
      <c r="AL11" s="77"/>
      <c r="AM11" s="77"/>
      <c r="AN11" s="77"/>
      <c r="AO11" s="78"/>
      <c r="AP11" s="70"/>
      <c r="AQ11" s="97">
        <v>42</v>
      </c>
      <c r="AR11" s="97">
        <v>50</v>
      </c>
      <c r="AS11" s="97">
        <v>47</v>
      </c>
      <c r="AT11" s="97">
        <v>46</v>
      </c>
      <c r="AU11" s="97">
        <v>49.69</v>
      </c>
      <c r="AV11" s="163">
        <f>'2025'!AG31</f>
        <v>0</v>
      </c>
    </row>
    <row r="12" spans="1:48" s="5" customFormat="1" ht="15" customHeight="1" x14ac:dyDescent="0.25">
      <c r="A12" s="192" t="s">
        <v>256</v>
      </c>
      <c r="B12" s="284"/>
      <c r="C12" s="9" t="s">
        <v>188</v>
      </c>
      <c r="D12" s="10" t="s">
        <v>235</v>
      </c>
      <c r="E12" s="11" t="s">
        <v>70</v>
      </c>
      <c r="F12" s="11" t="s">
        <v>706</v>
      </c>
      <c r="G12" s="12" t="s">
        <v>205</v>
      </c>
      <c r="H12" s="13" t="s">
        <v>214</v>
      </c>
      <c r="I12" s="14">
        <v>1172.5</v>
      </c>
      <c r="J12" s="14" t="s">
        <v>303</v>
      </c>
      <c r="K12" s="12" t="s">
        <v>143</v>
      </c>
      <c r="L12" s="12" t="s">
        <v>142</v>
      </c>
      <c r="M12" s="143" t="s">
        <v>224</v>
      </c>
      <c r="N12" s="33">
        <v>3.7999999999999994</v>
      </c>
      <c r="O12" s="194">
        <v>6.38</v>
      </c>
      <c r="P12" s="194">
        <v>4.8790000000000004</v>
      </c>
      <c r="Q12" s="194">
        <v>7.5879999999999992</v>
      </c>
      <c r="R12" s="194">
        <v>5.2459999999999996</v>
      </c>
      <c r="S12" s="194">
        <v>4.3440000000000003</v>
      </c>
      <c r="T12" s="160">
        <f>('2025'!AG32+'2025'!AG33)/1000</f>
        <v>2.2450000000000001</v>
      </c>
      <c r="U12" s="33">
        <v>52.197769999999998</v>
      </c>
      <c r="V12" s="194">
        <v>59.262080000000012</v>
      </c>
      <c r="W12" s="194">
        <v>59.673749999999998</v>
      </c>
      <c r="X12" s="194">
        <v>60.610500000000002</v>
      </c>
      <c r="Y12" s="194">
        <v>62.294749999999993</v>
      </c>
      <c r="Z12" s="215">
        <v>57.286999999999999</v>
      </c>
      <c r="AA12" s="160">
        <f>('2025'!AG34+'2025'!AG35)/1000*$N$62</f>
        <v>36.720828335</v>
      </c>
      <c r="AB12" s="76"/>
      <c r="AC12" s="77"/>
      <c r="AD12" s="77"/>
      <c r="AE12" s="77"/>
      <c r="AF12" s="77"/>
      <c r="AG12" s="77"/>
      <c r="AH12" s="78"/>
      <c r="AI12" s="76"/>
      <c r="AJ12" s="77"/>
      <c r="AK12" s="77"/>
      <c r="AL12" s="77"/>
      <c r="AM12" s="77"/>
      <c r="AN12" s="77"/>
      <c r="AO12" s="78"/>
      <c r="AP12" s="76"/>
      <c r="AQ12" s="193">
        <v>83</v>
      </c>
      <c r="AR12" s="193">
        <v>97</v>
      </c>
      <c r="AS12" s="193">
        <v>143</v>
      </c>
      <c r="AT12" s="193">
        <v>169</v>
      </c>
      <c r="AU12" s="193">
        <v>187</v>
      </c>
      <c r="AV12" s="162">
        <f>'2025'!AG36</f>
        <v>99</v>
      </c>
    </row>
    <row r="13" spans="1:48" s="5" customFormat="1" ht="14.65" customHeight="1" x14ac:dyDescent="0.25">
      <c r="A13" s="86"/>
      <c r="B13" s="284"/>
      <c r="C13" s="79" t="s">
        <v>181</v>
      </c>
      <c r="D13" s="80" t="s">
        <v>56</v>
      </c>
      <c r="E13" s="81" t="s">
        <v>70</v>
      </c>
      <c r="F13" s="81"/>
      <c r="G13" s="82" t="s">
        <v>51</v>
      </c>
      <c r="H13" s="83">
        <v>1</v>
      </c>
      <c r="I13" s="84">
        <v>180</v>
      </c>
      <c r="J13" s="84" t="s">
        <v>305</v>
      </c>
      <c r="K13" s="82" t="s">
        <v>30</v>
      </c>
      <c r="L13" s="82" t="s">
        <v>30</v>
      </c>
      <c r="M13" s="85" t="s">
        <v>244</v>
      </c>
      <c r="N13" s="70"/>
      <c r="O13" s="71"/>
      <c r="P13" s="71"/>
      <c r="Q13" s="71"/>
      <c r="R13" s="71"/>
      <c r="S13" s="71"/>
      <c r="T13" s="164">
        <f>'2025'!AG37/1000</f>
        <v>0</v>
      </c>
      <c r="U13" s="76"/>
      <c r="V13" s="77"/>
      <c r="W13" s="77"/>
      <c r="X13" s="77"/>
      <c r="Y13" s="77"/>
      <c r="Z13" s="77"/>
      <c r="AA13" s="78"/>
      <c r="AB13" s="76"/>
      <c r="AC13" s="77"/>
      <c r="AD13" s="77"/>
      <c r="AE13" s="77"/>
      <c r="AF13" s="77"/>
      <c r="AG13" s="77"/>
      <c r="AH13" s="78"/>
      <c r="AI13" s="76"/>
      <c r="AJ13" s="77"/>
      <c r="AK13" s="77"/>
      <c r="AL13" s="77"/>
      <c r="AM13" s="77"/>
      <c r="AN13" s="77"/>
      <c r="AO13" s="78"/>
      <c r="AP13" s="76"/>
      <c r="AQ13" s="99"/>
      <c r="AR13" s="99"/>
      <c r="AS13" s="99"/>
      <c r="AT13" s="99"/>
      <c r="AU13" s="99"/>
      <c r="AV13" s="135"/>
    </row>
    <row r="14" spans="1:48" s="5" customFormat="1" ht="14.65" customHeight="1" x14ac:dyDescent="0.25">
      <c r="A14" s="86"/>
      <c r="B14" s="284"/>
      <c r="C14" s="79" t="s">
        <v>180</v>
      </c>
      <c r="D14" s="80" t="s">
        <v>57</v>
      </c>
      <c r="E14" s="81" t="s">
        <v>70</v>
      </c>
      <c r="F14" s="81"/>
      <c r="G14" s="82" t="s">
        <v>51</v>
      </c>
      <c r="H14" s="83">
        <v>1</v>
      </c>
      <c r="I14" s="84">
        <v>350</v>
      </c>
      <c r="J14" s="84" t="s">
        <v>305</v>
      </c>
      <c r="K14" s="82" t="s">
        <v>30</v>
      </c>
      <c r="L14" s="82" t="s">
        <v>30</v>
      </c>
      <c r="M14" s="85" t="s">
        <v>244</v>
      </c>
      <c r="N14" s="70">
        <v>20.849</v>
      </c>
      <c r="O14" s="71">
        <v>0.317</v>
      </c>
      <c r="P14" s="71">
        <v>2.1000000000000001E-2</v>
      </c>
      <c r="Q14" s="71">
        <v>7.2999999999999995E-2</v>
      </c>
      <c r="R14" s="71">
        <v>6.3570000000000002E-2</v>
      </c>
      <c r="S14" s="71">
        <v>8.3000000000000004E-2</v>
      </c>
      <c r="T14" s="164">
        <f>('2025'!AG38+'2025'!AG39)/1000</f>
        <v>0</v>
      </c>
      <c r="U14" s="76"/>
      <c r="V14" s="77"/>
      <c r="W14" s="77"/>
      <c r="X14" s="77"/>
      <c r="Y14" s="77"/>
      <c r="Z14" s="77"/>
      <c r="AA14" s="78"/>
      <c r="AB14" s="76"/>
      <c r="AC14" s="77"/>
      <c r="AD14" s="77"/>
      <c r="AE14" s="77"/>
      <c r="AF14" s="77"/>
      <c r="AG14" s="77"/>
      <c r="AH14" s="78"/>
      <c r="AI14" s="76"/>
      <c r="AJ14" s="77"/>
      <c r="AK14" s="77"/>
      <c r="AL14" s="77"/>
      <c r="AM14" s="77"/>
      <c r="AN14" s="77"/>
      <c r="AO14" s="78"/>
      <c r="AP14" s="70"/>
      <c r="AQ14" s="97"/>
      <c r="AR14" s="97"/>
      <c r="AS14" s="97"/>
      <c r="AT14" s="97"/>
      <c r="AU14" s="97"/>
      <c r="AV14" s="163">
        <f>'2025'!AG40</f>
        <v>0</v>
      </c>
    </row>
    <row r="15" spans="1:48" s="5" customFormat="1" ht="14.65" customHeight="1" x14ac:dyDescent="0.25">
      <c r="A15" s="86"/>
      <c r="B15" s="284"/>
      <c r="C15" s="79" t="s">
        <v>31</v>
      </c>
      <c r="D15" s="80" t="s">
        <v>245</v>
      </c>
      <c r="E15" s="81" t="s">
        <v>70</v>
      </c>
      <c r="F15" s="81"/>
      <c r="G15" s="82" t="s">
        <v>49</v>
      </c>
      <c r="H15" s="83">
        <v>1</v>
      </c>
      <c r="I15" s="84">
        <v>189</v>
      </c>
      <c r="J15" s="84" t="s">
        <v>304</v>
      </c>
      <c r="K15" s="82" t="s">
        <v>30</v>
      </c>
      <c r="L15" s="82" t="s">
        <v>136</v>
      </c>
      <c r="M15" s="85" t="s">
        <v>243</v>
      </c>
      <c r="N15" s="76"/>
      <c r="O15" s="77"/>
      <c r="P15" s="77"/>
      <c r="Q15" s="77"/>
      <c r="R15" s="77"/>
      <c r="S15" s="77"/>
      <c r="T15" s="78"/>
      <c r="U15" s="70"/>
      <c r="V15" s="71"/>
      <c r="W15" s="71"/>
      <c r="X15" s="71"/>
      <c r="Y15" s="71"/>
      <c r="Z15" s="71"/>
      <c r="AA15" s="160">
        <f>'2025'!AG41/1000*$N$62</f>
        <v>0</v>
      </c>
      <c r="AB15" s="76"/>
      <c r="AC15" s="77"/>
      <c r="AD15" s="77"/>
      <c r="AE15" s="77"/>
      <c r="AF15" s="77"/>
      <c r="AG15" s="77"/>
      <c r="AH15" s="78"/>
      <c r="AI15" s="76"/>
      <c r="AJ15" s="77"/>
      <c r="AK15" s="77"/>
      <c r="AL15" s="77"/>
      <c r="AM15" s="77"/>
      <c r="AN15" s="77"/>
      <c r="AO15" s="78"/>
      <c r="AP15" s="76"/>
      <c r="AQ15" s="99"/>
      <c r="AR15" s="99"/>
      <c r="AS15" s="99"/>
      <c r="AT15" s="99"/>
      <c r="AU15" s="99"/>
      <c r="AV15" s="135"/>
    </row>
    <row r="16" spans="1:48" s="5" customFormat="1" ht="14.65" customHeight="1" x14ac:dyDescent="0.25">
      <c r="A16" s="192" t="s">
        <v>257</v>
      </c>
      <c r="B16" s="285"/>
      <c r="C16" s="9" t="s">
        <v>242</v>
      </c>
      <c r="D16" s="10"/>
      <c r="E16" s="11" t="s">
        <v>707</v>
      </c>
      <c r="F16" s="11" t="s">
        <v>707</v>
      </c>
      <c r="G16" s="12" t="s">
        <v>295</v>
      </c>
      <c r="H16" s="8" t="s">
        <v>30</v>
      </c>
      <c r="I16" s="14" t="s">
        <v>30</v>
      </c>
      <c r="J16" s="14" t="s">
        <v>30</v>
      </c>
      <c r="K16" s="12" t="s">
        <v>30</v>
      </c>
      <c r="L16" s="12" t="s">
        <v>30</v>
      </c>
      <c r="M16" s="27" t="s">
        <v>30</v>
      </c>
      <c r="N16" s="33">
        <v>569.93870000000004</v>
      </c>
      <c r="O16" s="174">
        <v>575.9459999999998</v>
      </c>
      <c r="P16" s="194">
        <v>563.24200000000008</v>
      </c>
      <c r="Q16" s="194">
        <v>584.53599999999994</v>
      </c>
      <c r="R16" s="194">
        <v>518.25900000000001</v>
      </c>
      <c r="S16" s="194">
        <v>308.49099999999999</v>
      </c>
      <c r="T16" s="160">
        <f>SUM('2025'!AG42:AG70)/1000</f>
        <v>192.4</v>
      </c>
      <c r="U16" s="76"/>
      <c r="V16" s="77"/>
      <c r="W16" s="77"/>
      <c r="X16" s="77"/>
      <c r="Y16" s="77"/>
      <c r="Z16" s="77"/>
      <c r="AA16" s="78"/>
      <c r="AB16" s="76"/>
      <c r="AC16" s="77"/>
      <c r="AD16" s="77"/>
      <c r="AE16" s="77"/>
      <c r="AF16" s="77"/>
      <c r="AG16" s="77"/>
      <c r="AH16" s="78"/>
      <c r="AI16" s="76"/>
      <c r="AJ16" s="77"/>
      <c r="AK16" s="77"/>
      <c r="AL16" s="77"/>
      <c r="AM16" s="77"/>
      <c r="AN16" s="77"/>
      <c r="AO16" s="78"/>
      <c r="AP16" s="76"/>
      <c r="AQ16" s="99"/>
      <c r="AR16" s="99"/>
      <c r="AS16" s="99"/>
      <c r="AT16" s="99"/>
      <c r="AU16" s="99"/>
      <c r="AV16" s="100"/>
    </row>
    <row r="17" spans="1:48" s="202" customFormat="1" ht="14.65" customHeight="1" x14ac:dyDescent="0.2">
      <c r="A17" s="294" t="s">
        <v>258</v>
      </c>
      <c r="B17" s="283" t="s">
        <v>194</v>
      </c>
      <c r="C17" s="9" t="s">
        <v>320</v>
      </c>
      <c r="D17" s="11" t="s">
        <v>36</v>
      </c>
      <c r="E17" s="287" t="s">
        <v>67</v>
      </c>
      <c r="F17" s="287" t="s">
        <v>704</v>
      </c>
      <c r="G17" s="48" t="s">
        <v>296</v>
      </c>
      <c r="H17" s="186">
        <v>2</v>
      </c>
      <c r="I17" s="304">
        <v>2761.5</v>
      </c>
      <c r="J17" s="14" t="s">
        <v>300</v>
      </c>
      <c r="K17" s="12" t="s">
        <v>170</v>
      </c>
      <c r="L17" s="198">
        <v>5</v>
      </c>
      <c r="M17" s="297" t="s">
        <v>99</v>
      </c>
      <c r="N17" s="226">
        <v>51.142000000000003</v>
      </c>
      <c r="O17" s="235">
        <v>73.59</v>
      </c>
      <c r="P17" s="235">
        <v>83.4</v>
      </c>
      <c r="Q17" s="235">
        <v>86.009000000000015</v>
      </c>
      <c r="R17" s="235">
        <v>74.465000000000003</v>
      </c>
      <c r="S17" s="229">
        <v>78.555999999999997</v>
      </c>
      <c r="T17" s="232">
        <f>'2025'!AG71/1000</f>
        <v>15.920744000000001</v>
      </c>
      <c r="U17" s="76"/>
      <c r="V17" s="77"/>
      <c r="W17" s="77"/>
      <c r="X17" s="77"/>
      <c r="Y17" s="77"/>
      <c r="Z17" s="77"/>
      <c r="AA17" s="78"/>
      <c r="AB17" s="226">
        <v>614.68000000000006</v>
      </c>
      <c r="AC17" s="235">
        <v>540.91</v>
      </c>
      <c r="AD17" s="236">
        <v>734.6099999999999</v>
      </c>
      <c r="AE17" s="136">
        <v>254.81</v>
      </c>
      <c r="AF17" s="136">
        <v>263.94</v>
      </c>
      <c r="AG17" s="194">
        <v>209.28</v>
      </c>
      <c r="AH17" s="199">
        <f>'2025'!AG75/3.6</f>
        <v>30.455555555555556</v>
      </c>
      <c r="AI17" s="76"/>
      <c r="AJ17" s="77"/>
      <c r="AK17" s="77"/>
      <c r="AL17" s="77"/>
      <c r="AM17" s="77"/>
      <c r="AN17" s="77"/>
      <c r="AO17" s="78"/>
      <c r="AP17" s="267"/>
      <c r="AQ17" s="225">
        <v>711</v>
      </c>
      <c r="AR17" s="225">
        <v>708</v>
      </c>
      <c r="AS17" s="225">
        <v>1027</v>
      </c>
      <c r="AT17" s="225">
        <v>983</v>
      </c>
      <c r="AU17" s="200">
        <v>24.524999999999999</v>
      </c>
      <c r="AV17" s="201">
        <f>'2025'!AG76</f>
        <v>13</v>
      </c>
    </row>
    <row r="18" spans="1:48" s="5" customFormat="1" ht="16.5" customHeight="1" x14ac:dyDescent="0.2">
      <c r="A18" s="295"/>
      <c r="B18" s="284"/>
      <c r="C18" s="9" t="s">
        <v>317</v>
      </c>
      <c r="D18" s="11" t="s">
        <v>42</v>
      </c>
      <c r="E18" s="288"/>
      <c r="F18" s="288"/>
      <c r="G18" s="12" t="s">
        <v>319</v>
      </c>
      <c r="H18" s="8">
        <v>3</v>
      </c>
      <c r="I18" s="305"/>
      <c r="J18" s="14" t="s">
        <v>300</v>
      </c>
      <c r="K18" s="12" t="s">
        <v>171</v>
      </c>
      <c r="L18" s="32" t="s">
        <v>321</v>
      </c>
      <c r="M18" s="298"/>
      <c r="N18" s="227"/>
      <c r="O18" s="235"/>
      <c r="P18" s="235"/>
      <c r="Q18" s="235"/>
      <c r="R18" s="235"/>
      <c r="S18" s="230"/>
      <c r="T18" s="233"/>
      <c r="U18" s="76"/>
      <c r="V18" s="77"/>
      <c r="W18" s="77"/>
      <c r="X18" s="77"/>
      <c r="Y18" s="77"/>
      <c r="Z18" s="77"/>
      <c r="AA18" s="78"/>
      <c r="AB18" s="227"/>
      <c r="AC18" s="235"/>
      <c r="AD18" s="237"/>
      <c r="AE18" s="136">
        <v>196.6</v>
      </c>
      <c r="AF18" s="136">
        <v>169.7</v>
      </c>
      <c r="AG18" s="194">
        <v>158.5</v>
      </c>
      <c r="AH18" s="199">
        <f>'2025'!AG77/3.6</f>
        <v>33.527777777777779</v>
      </c>
      <c r="AI18" s="76"/>
      <c r="AJ18" s="77"/>
      <c r="AK18" s="77"/>
      <c r="AL18" s="77"/>
      <c r="AM18" s="77"/>
      <c r="AN18" s="77"/>
      <c r="AO18" s="78"/>
      <c r="AP18" s="268"/>
      <c r="AQ18" s="225"/>
      <c r="AR18" s="225"/>
      <c r="AS18" s="225"/>
      <c r="AT18" s="225"/>
      <c r="AU18" s="245">
        <v>979.73800000000006</v>
      </c>
      <c r="AV18" s="247">
        <f>'2025'!AG79</f>
        <v>473</v>
      </c>
    </row>
    <row r="19" spans="1:48" s="5" customFormat="1" ht="15" customHeight="1" x14ac:dyDescent="0.2">
      <c r="A19" s="296"/>
      <c r="B19" s="284"/>
      <c r="C19" s="9" t="s">
        <v>318</v>
      </c>
      <c r="D19" s="11" t="s">
        <v>42</v>
      </c>
      <c r="E19" s="289"/>
      <c r="F19" s="289"/>
      <c r="G19" s="12" t="s">
        <v>9</v>
      </c>
      <c r="H19" s="8">
        <v>3</v>
      </c>
      <c r="I19" s="306"/>
      <c r="J19" s="14" t="s">
        <v>301</v>
      </c>
      <c r="K19" s="12" t="s">
        <v>171</v>
      </c>
      <c r="L19" s="32" t="s">
        <v>128</v>
      </c>
      <c r="M19" s="299"/>
      <c r="N19" s="228"/>
      <c r="O19" s="235"/>
      <c r="P19" s="235"/>
      <c r="Q19" s="235"/>
      <c r="R19" s="235"/>
      <c r="S19" s="231"/>
      <c r="T19" s="234"/>
      <c r="U19" s="76"/>
      <c r="V19" s="77"/>
      <c r="W19" s="77"/>
      <c r="X19" s="77"/>
      <c r="Y19" s="77"/>
      <c r="Z19" s="77"/>
      <c r="AA19" s="78"/>
      <c r="AB19" s="228"/>
      <c r="AC19" s="235"/>
      <c r="AD19" s="238"/>
      <c r="AE19" s="136">
        <v>111.06</v>
      </c>
      <c r="AF19" s="136">
        <v>94.05</v>
      </c>
      <c r="AG19" s="194">
        <v>99.63</v>
      </c>
      <c r="AH19" s="203">
        <f>'2025'!AG78/3.6</f>
        <v>20.997222222222227</v>
      </c>
      <c r="AI19" s="76"/>
      <c r="AJ19" s="77"/>
      <c r="AK19" s="77"/>
      <c r="AL19" s="77"/>
      <c r="AM19" s="77"/>
      <c r="AN19" s="77"/>
      <c r="AO19" s="78"/>
      <c r="AP19" s="269"/>
      <c r="AQ19" s="225"/>
      <c r="AR19" s="225"/>
      <c r="AS19" s="225"/>
      <c r="AT19" s="225"/>
      <c r="AU19" s="246"/>
      <c r="AV19" s="248"/>
    </row>
    <row r="20" spans="1:48" s="5" customFormat="1" ht="14.65" customHeight="1" x14ac:dyDescent="0.25">
      <c r="A20" s="29" t="s">
        <v>259</v>
      </c>
      <c r="B20" s="285"/>
      <c r="C20" s="30" t="s">
        <v>20</v>
      </c>
      <c r="D20" s="10" t="s">
        <v>22</v>
      </c>
      <c r="E20" s="11" t="s">
        <v>67</v>
      </c>
      <c r="F20" s="11" t="s">
        <v>704</v>
      </c>
      <c r="G20" s="12" t="s">
        <v>208</v>
      </c>
      <c r="H20" s="8">
        <v>4</v>
      </c>
      <c r="I20" s="14">
        <v>2100.1999999999998</v>
      </c>
      <c r="J20" s="14" t="s">
        <v>300</v>
      </c>
      <c r="K20" s="12" t="s">
        <v>169</v>
      </c>
      <c r="L20" s="12" t="s">
        <v>118</v>
      </c>
      <c r="M20" s="31" t="s">
        <v>96</v>
      </c>
      <c r="N20" s="33">
        <v>27.573</v>
      </c>
      <c r="O20" s="194">
        <v>25.15</v>
      </c>
      <c r="P20" s="194">
        <v>20.75</v>
      </c>
      <c r="Q20" s="194">
        <v>20.05</v>
      </c>
      <c r="R20" s="194">
        <v>19.242999999999999</v>
      </c>
      <c r="S20" s="194">
        <v>19.108000000000001</v>
      </c>
      <c r="T20" s="160">
        <f>'2025'!AG80/1000</f>
        <v>221.03100000000001</v>
      </c>
      <c r="U20" s="76"/>
      <c r="V20" s="77"/>
      <c r="W20" s="77"/>
      <c r="X20" s="77"/>
      <c r="Y20" s="77"/>
      <c r="Z20" s="77"/>
      <c r="AA20" s="78"/>
      <c r="AB20" s="33">
        <v>483.72</v>
      </c>
      <c r="AC20" s="194">
        <v>461.61</v>
      </c>
      <c r="AD20" s="194">
        <v>642.97</v>
      </c>
      <c r="AE20" s="194">
        <v>506.93</v>
      </c>
      <c r="AF20" s="194">
        <v>444.88</v>
      </c>
      <c r="AG20" s="194">
        <v>405.86</v>
      </c>
      <c r="AH20" s="160">
        <f>'2025'!AG82/3.6</f>
        <v>77.186111111111117</v>
      </c>
      <c r="AI20" s="76"/>
      <c r="AJ20" s="77"/>
      <c r="AK20" s="77"/>
      <c r="AL20" s="77"/>
      <c r="AM20" s="77"/>
      <c r="AN20" s="77"/>
      <c r="AO20" s="78"/>
      <c r="AP20" s="76"/>
      <c r="AQ20" s="193">
        <v>445</v>
      </c>
      <c r="AR20" s="193">
        <v>110</v>
      </c>
      <c r="AS20" s="193">
        <v>151</v>
      </c>
      <c r="AT20" s="193">
        <v>114</v>
      </c>
      <c r="AU20" s="193">
        <v>119.746</v>
      </c>
      <c r="AV20" s="195">
        <f>'2025'!AG83</f>
        <v>45</v>
      </c>
    </row>
    <row r="21" spans="1:48" s="5" customFormat="1" ht="14.65" customHeight="1" x14ac:dyDescent="0.25">
      <c r="A21" s="192" t="s">
        <v>260</v>
      </c>
      <c r="B21" s="8" t="s">
        <v>138</v>
      </c>
      <c r="C21" s="9" t="s">
        <v>138</v>
      </c>
      <c r="D21" s="10" t="s">
        <v>34</v>
      </c>
      <c r="E21" s="11" t="s">
        <v>233</v>
      </c>
      <c r="F21" s="11" t="s">
        <v>233</v>
      </c>
      <c r="G21" s="12" t="s">
        <v>8</v>
      </c>
      <c r="H21" s="8">
        <v>2</v>
      </c>
      <c r="I21" s="14">
        <v>1237.7</v>
      </c>
      <c r="J21" s="14" t="s">
        <v>300</v>
      </c>
      <c r="K21" s="12" t="s">
        <v>149</v>
      </c>
      <c r="L21" s="12" t="s">
        <v>120</v>
      </c>
      <c r="M21" s="16" t="s">
        <v>100</v>
      </c>
      <c r="N21" s="33">
        <v>14.564</v>
      </c>
      <c r="O21" s="194">
        <v>13.64</v>
      </c>
      <c r="P21" s="194">
        <v>14.95</v>
      </c>
      <c r="Q21" s="194">
        <v>16.329999999999998</v>
      </c>
      <c r="R21" s="194">
        <v>16.030999999999999</v>
      </c>
      <c r="S21" s="194">
        <v>16.414999999999999</v>
      </c>
      <c r="T21" s="160">
        <f>'2025'!AG84/1000</f>
        <v>7.3019999999999996</v>
      </c>
      <c r="U21" s="33">
        <v>4.7795199999999998</v>
      </c>
      <c r="V21" s="194">
        <v>5.95</v>
      </c>
      <c r="W21" s="194">
        <v>6.12</v>
      </c>
      <c r="X21" s="194">
        <v>5.29</v>
      </c>
      <c r="Y21" s="194">
        <v>5.11449</v>
      </c>
      <c r="Z21" s="211">
        <v>4.5763800000000003</v>
      </c>
      <c r="AA21" s="160">
        <f>'2025'!AG85/1000*$N$62</f>
        <v>1.9642642199999998</v>
      </c>
      <c r="AB21" s="33">
        <v>183.4803679932192</v>
      </c>
      <c r="AC21" s="194">
        <v>309.39</v>
      </c>
      <c r="AD21" s="194">
        <v>305.66399999999999</v>
      </c>
      <c r="AE21" s="194">
        <v>274.5</v>
      </c>
      <c r="AF21" s="194">
        <v>242.9</v>
      </c>
      <c r="AG21" s="194">
        <v>238.4</v>
      </c>
      <c r="AH21" s="160">
        <f>'2025'!AG86/3.6</f>
        <v>42.277777777777771</v>
      </c>
      <c r="AI21" s="76"/>
      <c r="AJ21" s="77"/>
      <c r="AK21" s="77"/>
      <c r="AL21" s="77"/>
      <c r="AM21" s="77"/>
      <c r="AN21" s="77"/>
      <c r="AO21" s="78"/>
      <c r="AP21" s="76"/>
      <c r="AQ21" s="193">
        <v>242</v>
      </c>
      <c r="AR21" s="193">
        <v>327</v>
      </c>
      <c r="AS21" s="193">
        <v>528</v>
      </c>
      <c r="AT21" s="193">
        <v>271</v>
      </c>
      <c r="AU21" s="193">
        <v>478</v>
      </c>
      <c r="AV21" s="162">
        <f>'2025'!AG87</f>
        <v>240</v>
      </c>
    </row>
    <row r="22" spans="1:48" s="5" customFormat="1" ht="14.65" customHeight="1" x14ac:dyDescent="0.2">
      <c r="A22" s="192" t="s">
        <v>261</v>
      </c>
      <c r="B22" s="8" t="s">
        <v>15</v>
      </c>
      <c r="C22" s="9" t="s">
        <v>15</v>
      </c>
      <c r="D22" s="10" t="s">
        <v>37</v>
      </c>
      <c r="E22" s="11" t="s">
        <v>77</v>
      </c>
      <c r="F22" s="11" t="s">
        <v>700</v>
      </c>
      <c r="G22" s="12" t="s">
        <v>8</v>
      </c>
      <c r="H22" s="13" t="s">
        <v>236</v>
      </c>
      <c r="I22" s="14">
        <v>1484.5</v>
      </c>
      <c r="J22" s="14" t="s">
        <v>300</v>
      </c>
      <c r="K22" s="12" t="s">
        <v>149</v>
      </c>
      <c r="L22" s="12" t="s">
        <v>121</v>
      </c>
      <c r="M22" s="16" t="s">
        <v>101</v>
      </c>
      <c r="N22" s="33">
        <v>18.702000000000002</v>
      </c>
      <c r="O22" s="194">
        <v>17.262</v>
      </c>
      <c r="P22" s="194">
        <v>18.682000000000002</v>
      </c>
      <c r="Q22" s="194">
        <v>19.527000000000001</v>
      </c>
      <c r="R22" s="194">
        <v>18.401</v>
      </c>
      <c r="S22" s="194">
        <v>18.414999999999999</v>
      </c>
      <c r="T22" s="160">
        <f>SUM('2025'!AG88:AG91)/1000</f>
        <v>7.7</v>
      </c>
      <c r="U22" s="33">
        <v>5.2106389999999987</v>
      </c>
      <c r="V22" s="194">
        <v>3.56</v>
      </c>
      <c r="W22" s="194">
        <v>4.1100000000000003</v>
      </c>
      <c r="X22" s="194">
        <v>4.74</v>
      </c>
      <c r="Y22" s="194">
        <v>4.5507799999999996</v>
      </c>
      <c r="Z22" s="209">
        <v>4.6096500000000002</v>
      </c>
      <c r="AA22" s="160">
        <f>'2025'!AG92/1000*$N$62</f>
        <v>2.7132927299809997</v>
      </c>
      <c r="AB22" s="33">
        <v>348.34000484934506</v>
      </c>
      <c r="AC22" s="194">
        <v>324.46000000000004</v>
      </c>
      <c r="AD22" s="194">
        <v>377.71199999999999</v>
      </c>
      <c r="AE22" s="194">
        <v>322.488</v>
      </c>
      <c r="AF22" s="194">
        <v>310.13</v>
      </c>
      <c r="AG22" s="194">
        <v>324.97000000000003</v>
      </c>
      <c r="AH22" s="203">
        <f>'2025'!AG93/3.6</f>
        <v>58.972222222222207</v>
      </c>
      <c r="AI22" s="76"/>
      <c r="AJ22" s="77"/>
      <c r="AK22" s="77"/>
      <c r="AL22" s="77"/>
      <c r="AM22" s="77"/>
      <c r="AN22" s="77"/>
      <c r="AO22" s="78"/>
      <c r="AP22" s="76"/>
      <c r="AQ22" s="193">
        <v>580</v>
      </c>
      <c r="AR22" s="193">
        <v>651</v>
      </c>
      <c r="AS22" s="193">
        <v>668</v>
      </c>
      <c r="AT22" s="193">
        <v>651</v>
      </c>
      <c r="AU22" s="193">
        <v>658.18</v>
      </c>
      <c r="AV22" s="162">
        <f>'2025'!AG94</f>
        <v>295</v>
      </c>
    </row>
    <row r="23" spans="1:48" s="5" customFormat="1" ht="14.65" customHeight="1" x14ac:dyDescent="0.2">
      <c r="A23" s="192" t="s">
        <v>262</v>
      </c>
      <c r="B23" s="8" t="s">
        <v>16</v>
      </c>
      <c r="C23" s="9" t="s">
        <v>16</v>
      </c>
      <c r="D23" s="10" t="s">
        <v>237</v>
      </c>
      <c r="E23" s="11" t="s">
        <v>694</v>
      </c>
      <c r="F23" s="11" t="s">
        <v>694</v>
      </c>
      <c r="G23" s="12" t="s">
        <v>8</v>
      </c>
      <c r="H23" s="8">
        <v>3</v>
      </c>
      <c r="I23" s="14">
        <v>887</v>
      </c>
      <c r="J23" s="14" t="s">
        <v>300</v>
      </c>
      <c r="K23" s="12" t="s">
        <v>149</v>
      </c>
      <c r="L23" s="12" t="s">
        <v>121</v>
      </c>
      <c r="M23" s="16" t="s">
        <v>101</v>
      </c>
      <c r="N23" s="33">
        <v>16.12</v>
      </c>
      <c r="O23" s="194">
        <v>12.41</v>
      </c>
      <c r="P23" s="194">
        <v>13.49</v>
      </c>
      <c r="Q23" s="194">
        <v>14.56</v>
      </c>
      <c r="R23" s="194">
        <v>14.013999999999999</v>
      </c>
      <c r="S23" s="194">
        <v>15.601000000000001</v>
      </c>
      <c r="T23" s="160">
        <f>'2025'!AG95/1000</f>
        <v>6.7629999999999999</v>
      </c>
      <c r="U23" s="33">
        <v>8.2546999999999997</v>
      </c>
      <c r="V23" s="194">
        <v>8.9440000000000008</v>
      </c>
      <c r="W23" s="194">
        <v>7.0798499999999995</v>
      </c>
      <c r="X23" s="194">
        <v>4.7795199999999998</v>
      </c>
      <c r="Y23" s="194">
        <v>9.2205999999999992</v>
      </c>
      <c r="Z23" s="216">
        <v>10.38199</v>
      </c>
      <c r="AA23" s="160">
        <f>'2025'!AG96/1000*$N$62</f>
        <v>3.2986762052780016</v>
      </c>
      <c r="AB23" s="33">
        <v>231.399883155754</v>
      </c>
      <c r="AC23" s="194">
        <v>257.54400000000004</v>
      </c>
      <c r="AD23" s="194">
        <v>351.68400000000003</v>
      </c>
      <c r="AE23" s="194">
        <v>297.72000000000003</v>
      </c>
      <c r="AF23" s="194">
        <v>255.16</v>
      </c>
      <c r="AG23" s="194">
        <v>269</v>
      </c>
      <c r="AH23" s="218">
        <f>'2025'!AG97/3.6</f>
        <v>44.555555555555557</v>
      </c>
      <c r="AI23" s="76"/>
      <c r="AJ23" s="77"/>
      <c r="AK23" s="77"/>
      <c r="AL23" s="77"/>
      <c r="AM23" s="77"/>
      <c r="AN23" s="77"/>
      <c r="AO23" s="78"/>
      <c r="AP23" s="76"/>
      <c r="AQ23" s="193">
        <v>377</v>
      </c>
      <c r="AR23" s="193">
        <v>453</v>
      </c>
      <c r="AS23" s="193">
        <v>492</v>
      </c>
      <c r="AT23" s="193">
        <v>520</v>
      </c>
      <c r="AU23" s="193">
        <v>554</v>
      </c>
      <c r="AV23" s="162">
        <f>'2025'!AG98</f>
        <v>224.39999999999998</v>
      </c>
    </row>
    <row r="24" spans="1:48" s="5" customFormat="1" ht="14.65" customHeight="1" x14ac:dyDescent="0.2">
      <c r="A24" s="192" t="s">
        <v>263</v>
      </c>
      <c r="B24" s="8" t="s">
        <v>1</v>
      </c>
      <c r="C24" s="9" t="s">
        <v>1</v>
      </c>
      <c r="D24" s="10" t="s">
        <v>38</v>
      </c>
      <c r="E24" s="11" t="s">
        <v>81</v>
      </c>
      <c r="F24" s="11" t="s">
        <v>702</v>
      </c>
      <c r="G24" s="12" t="s">
        <v>8</v>
      </c>
      <c r="H24" s="8">
        <v>5</v>
      </c>
      <c r="I24" s="14">
        <v>3582.8</v>
      </c>
      <c r="J24" s="14" t="s">
        <v>301</v>
      </c>
      <c r="K24" s="12" t="s">
        <v>144</v>
      </c>
      <c r="L24" s="12" t="s">
        <v>122</v>
      </c>
      <c r="M24" s="16" t="s">
        <v>88</v>
      </c>
      <c r="N24" s="33">
        <v>48.850999999999999</v>
      </c>
      <c r="O24" s="194">
        <v>43.09</v>
      </c>
      <c r="P24" s="194">
        <v>40.49</v>
      </c>
      <c r="Q24" s="194">
        <v>52.08</v>
      </c>
      <c r="R24" s="194">
        <v>43.393000000000001</v>
      </c>
      <c r="S24" s="194">
        <v>42.911999999999999</v>
      </c>
      <c r="T24" s="160">
        <f>SUM('2025'!AG99:AG100)/1000</f>
        <v>20.229700000000026</v>
      </c>
      <c r="U24" s="76"/>
      <c r="V24" s="77"/>
      <c r="W24" s="77"/>
      <c r="X24" s="77"/>
      <c r="Y24" s="77"/>
      <c r="Z24" s="77"/>
      <c r="AA24" s="78"/>
      <c r="AB24" s="33">
        <v>670</v>
      </c>
      <c r="AC24" s="194">
        <v>633.88800000000003</v>
      </c>
      <c r="AD24" s="194">
        <v>908.38800000000003</v>
      </c>
      <c r="AE24" s="194">
        <v>651.6</v>
      </c>
      <c r="AF24" s="194">
        <v>574.70000000000005</v>
      </c>
      <c r="AG24" s="194">
        <v>574.70000000000005</v>
      </c>
      <c r="AH24" s="218">
        <f>'2025'!AG101/3.6</f>
        <v>122.24999999999999</v>
      </c>
      <c r="AI24" s="76"/>
      <c r="AJ24" s="77"/>
      <c r="AK24" s="77"/>
      <c r="AL24" s="77"/>
      <c r="AM24" s="77"/>
      <c r="AN24" s="77"/>
      <c r="AO24" s="78"/>
      <c r="AP24" s="76"/>
      <c r="AQ24" s="193">
        <v>455</v>
      </c>
      <c r="AR24" s="193">
        <v>527</v>
      </c>
      <c r="AS24" s="193">
        <v>679</v>
      </c>
      <c r="AT24" s="193">
        <v>684</v>
      </c>
      <c r="AU24" s="193">
        <v>672</v>
      </c>
      <c r="AV24" s="162">
        <f>'2025'!AG102+'2025'!AG103</f>
        <v>276.19799999999992</v>
      </c>
    </row>
    <row r="25" spans="1:48" s="5" customFormat="1" ht="14.65" customHeight="1" x14ac:dyDescent="0.2">
      <c r="A25" s="192" t="s">
        <v>264</v>
      </c>
      <c r="B25" s="8" t="s">
        <v>7</v>
      </c>
      <c r="C25" s="9" t="s">
        <v>7</v>
      </c>
      <c r="D25" s="10" t="s">
        <v>11</v>
      </c>
      <c r="E25" s="11" t="s">
        <v>76</v>
      </c>
      <c r="F25" s="11" t="s">
        <v>714</v>
      </c>
      <c r="G25" s="12" t="s">
        <v>8</v>
      </c>
      <c r="H25" s="8">
        <v>3</v>
      </c>
      <c r="I25" s="14">
        <v>2997.2</v>
      </c>
      <c r="J25" s="14" t="s">
        <v>300</v>
      </c>
      <c r="K25" s="12" t="s">
        <v>144</v>
      </c>
      <c r="L25" s="12" t="s">
        <v>123</v>
      </c>
      <c r="M25" s="16" t="s">
        <v>89</v>
      </c>
      <c r="N25" s="33">
        <v>19.055</v>
      </c>
      <c r="O25" s="194">
        <v>14.61</v>
      </c>
      <c r="P25" s="194">
        <v>13.71</v>
      </c>
      <c r="Q25" s="194">
        <v>17.47</v>
      </c>
      <c r="R25" s="194">
        <v>14.994999999999999</v>
      </c>
      <c r="S25" s="194">
        <v>15.319000000000001</v>
      </c>
      <c r="T25" s="160">
        <f>SUM('2025'!AG104:AG105)/1000</f>
        <v>6.52</v>
      </c>
      <c r="U25" s="76"/>
      <c r="V25" s="77"/>
      <c r="W25" s="77"/>
      <c r="X25" s="77"/>
      <c r="Y25" s="77"/>
      <c r="Z25" s="77"/>
      <c r="AA25" s="78"/>
      <c r="AB25" s="33">
        <v>851.59</v>
      </c>
      <c r="AC25" s="194">
        <v>620.31600000000003</v>
      </c>
      <c r="AD25" s="194">
        <v>831.85199999999998</v>
      </c>
      <c r="AE25" s="194">
        <v>695.88000000000011</v>
      </c>
      <c r="AF25" s="194">
        <v>705.98</v>
      </c>
      <c r="AG25" s="194">
        <v>665.04</v>
      </c>
      <c r="AH25" s="218">
        <f>'2025'!AG106/3.6</f>
        <v>136.66111111111113</v>
      </c>
      <c r="AI25" s="76"/>
      <c r="AJ25" s="77"/>
      <c r="AK25" s="77"/>
      <c r="AL25" s="77"/>
      <c r="AM25" s="77"/>
      <c r="AN25" s="77"/>
      <c r="AO25" s="78"/>
      <c r="AP25" s="76"/>
      <c r="AQ25" s="193">
        <v>335</v>
      </c>
      <c r="AR25" s="193">
        <v>407</v>
      </c>
      <c r="AS25" s="193">
        <v>416</v>
      </c>
      <c r="AT25" s="193">
        <v>422</v>
      </c>
      <c r="AU25" s="193">
        <v>413</v>
      </c>
      <c r="AV25" s="162">
        <f>'2025'!AG107</f>
        <v>170.3900000000001</v>
      </c>
    </row>
    <row r="26" spans="1:48" s="5" customFormat="1" ht="14.65" customHeight="1" x14ac:dyDescent="0.2">
      <c r="A26" s="192" t="s">
        <v>265</v>
      </c>
      <c r="B26" s="283" t="s">
        <v>10</v>
      </c>
      <c r="C26" s="9" t="s">
        <v>10</v>
      </c>
      <c r="D26" s="10" t="s">
        <v>35</v>
      </c>
      <c r="E26" s="11" t="s">
        <v>75</v>
      </c>
      <c r="F26" s="11" t="s">
        <v>708</v>
      </c>
      <c r="G26" s="12" t="s">
        <v>8</v>
      </c>
      <c r="H26" s="8">
        <v>4</v>
      </c>
      <c r="I26" s="14">
        <v>6019.3</v>
      </c>
      <c r="J26" s="14" t="s">
        <v>300</v>
      </c>
      <c r="K26" s="12" t="s">
        <v>151</v>
      </c>
      <c r="L26" s="12" t="s">
        <v>155</v>
      </c>
      <c r="M26" s="16" t="s">
        <v>90</v>
      </c>
      <c r="N26" s="33">
        <v>59.978999999999999</v>
      </c>
      <c r="O26" s="194">
        <v>42.08</v>
      </c>
      <c r="P26" s="194">
        <v>37.770000000000003</v>
      </c>
      <c r="Q26" s="194">
        <v>36.44</v>
      </c>
      <c r="R26" s="194">
        <v>36.220999999999997</v>
      </c>
      <c r="S26" s="194">
        <v>43.168999999999997</v>
      </c>
      <c r="T26" s="160">
        <f>SUM('2025'!AG108:AG109)/1000</f>
        <v>20.617000000000001</v>
      </c>
      <c r="U26" s="33">
        <v>7.773950000000001</v>
      </c>
      <c r="V26" s="194">
        <v>5.62</v>
      </c>
      <c r="W26" s="194">
        <v>5.29</v>
      </c>
      <c r="X26" s="194">
        <v>1.72</v>
      </c>
      <c r="Y26" s="77"/>
      <c r="Z26" s="77"/>
      <c r="AA26" s="78"/>
      <c r="AB26" s="33">
        <v>1593.9</v>
      </c>
      <c r="AC26" s="194">
        <v>1295.1000000000001</v>
      </c>
      <c r="AD26" s="194">
        <v>1973.3040000000001</v>
      </c>
      <c r="AE26" s="194">
        <v>1562.796</v>
      </c>
      <c r="AF26" s="194">
        <v>1168</v>
      </c>
      <c r="AG26" s="194">
        <v>1208</v>
      </c>
      <c r="AH26" s="199">
        <f>'2025'!AG110/3.6</f>
        <v>234.94444444444443</v>
      </c>
      <c r="AI26" s="76"/>
      <c r="AJ26" s="77"/>
      <c r="AK26" s="77"/>
      <c r="AL26" s="77"/>
      <c r="AM26" s="77"/>
      <c r="AN26" s="77"/>
      <c r="AO26" s="78"/>
      <c r="AP26" s="76"/>
      <c r="AQ26" s="193">
        <v>649</v>
      </c>
      <c r="AR26" s="193">
        <v>648</v>
      </c>
      <c r="AS26" s="193">
        <v>844</v>
      </c>
      <c r="AT26" s="193">
        <v>1163</v>
      </c>
      <c r="AU26" s="193">
        <v>1398</v>
      </c>
      <c r="AV26" s="162">
        <f>'2025'!AG111</f>
        <v>716.07999999999993</v>
      </c>
    </row>
    <row r="27" spans="1:48" s="5" customFormat="1" ht="14.65" customHeight="1" x14ac:dyDescent="0.2">
      <c r="A27" s="192" t="s">
        <v>266</v>
      </c>
      <c r="B27" s="285"/>
      <c r="C27" s="9" t="s">
        <v>27</v>
      </c>
      <c r="D27" s="10" t="s">
        <v>28</v>
      </c>
      <c r="E27" s="11" t="s">
        <v>75</v>
      </c>
      <c r="F27" s="11" t="s">
        <v>708</v>
      </c>
      <c r="G27" s="12" t="s">
        <v>8</v>
      </c>
      <c r="H27" s="8">
        <v>4</v>
      </c>
      <c r="I27" s="14">
        <v>587</v>
      </c>
      <c r="J27" s="14" t="s">
        <v>306</v>
      </c>
      <c r="K27" s="12" t="s">
        <v>154</v>
      </c>
      <c r="L27" s="12" t="s">
        <v>125</v>
      </c>
      <c r="M27" s="16" t="s">
        <v>108</v>
      </c>
      <c r="N27" s="33">
        <v>0.751</v>
      </c>
      <c r="O27" s="194">
        <v>3.5</v>
      </c>
      <c r="P27" s="194">
        <v>3.78</v>
      </c>
      <c r="Q27" s="194">
        <v>4.0199999999999996</v>
      </c>
      <c r="R27" s="194">
        <v>3.6349999999999998</v>
      </c>
      <c r="S27" s="194">
        <v>3.4569999999999999</v>
      </c>
      <c r="T27" s="160">
        <f>SUM('2025'!AG112:AG114)/1000</f>
        <v>1.754</v>
      </c>
      <c r="U27" s="33">
        <v>19.337</v>
      </c>
      <c r="V27" s="194">
        <v>19.68</v>
      </c>
      <c r="W27" s="194">
        <v>26.15</v>
      </c>
      <c r="X27" s="194">
        <v>25.16</v>
      </c>
      <c r="Y27" s="194">
        <v>20.058199999999999</v>
      </c>
      <c r="Z27" s="194">
        <v>19.668479999999999</v>
      </c>
      <c r="AA27" s="160">
        <f>('2025'!AG115+'2025'!AG116)/1000*$N$62</f>
        <v>13.874318416074004</v>
      </c>
      <c r="AB27" s="33">
        <v>173.68</v>
      </c>
      <c r="AC27" s="194">
        <v>130.35599999999999</v>
      </c>
      <c r="AD27" s="194">
        <v>180.61200000000002</v>
      </c>
      <c r="AE27" s="194">
        <v>139.21200000000002</v>
      </c>
      <c r="AF27" s="194">
        <v>141.286</v>
      </c>
      <c r="AG27" s="194">
        <v>143.96700000000001</v>
      </c>
      <c r="AH27" s="218">
        <f>'2025'!AG117/3.6</f>
        <v>26.633333333333336</v>
      </c>
      <c r="AI27" s="76"/>
      <c r="AJ27" s="77"/>
      <c r="AK27" s="77"/>
      <c r="AL27" s="77"/>
      <c r="AM27" s="77"/>
      <c r="AN27" s="77"/>
      <c r="AO27" s="78"/>
      <c r="AP27" s="76"/>
      <c r="AQ27" s="193">
        <v>79</v>
      </c>
      <c r="AR27" s="193">
        <v>119</v>
      </c>
      <c r="AS27" s="193">
        <v>149</v>
      </c>
      <c r="AT27" s="193">
        <v>142</v>
      </c>
      <c r="AU27" s="193">
        <v>104</v>
      </c>
      <c r="AV27" s="162">
        <f>'2025'!AG118</f>
        <v>55.876999999999981</v>
      </c>
    </row>
    <row r="28" spans="1:48" s="150" customFormat="1" ht="12.75" customHeight="1" x14ac:dyDescent="0.2">
      <c r="A28" s="140" t="s">
        <v>267</v>
      </c>
      <c r="B28" s="12" t="s">
        <v>186</v>
      </c>
      <c r="C28" s="10" t="s">
        <v>186</v>
      </c>
      <c r="D28" s="10" t="s">
        <v>33</v>
      </c>
      <c r="E28" s="11" t="s">
        <v>69</v>
      </c>
      <c r="F28" s="11" t="s">
        <v>69</v>
      </c>
      <c r="G28" s="12" t="s">
        <v>8</v>
      </c>
      <c r="H28" s="141" t="s">
        <v>238</v>
      </c>
      <c r="I28" s="14">
        <v>1813.4</v>
      </c>
      <c r="J28" s="142" t="s">
        <v>301</v>
      </c>
      <c r="K28" s="12" t="s">
        <v>177</v>
      </c>
      <c r="L28" s="12" t="s">
        <v>139</v>
      </c>
      <c r="M28" s="143" t="s">
        <v>91</v>
      </c>
      <c r="N28" s="144">
        <v>8.3970000000000002</v>
      </c>
      <c r="O28" s="145">
        <v>12</v>
      </c>
      <c r="P28" s="145">
        <v>11.43</v>
      </c>
      <c r="Q28" s="145">
        <v>13.01</v>
      </c>
      <c r="R28" s="145">
        <v>12.409000000000001</v>
      </c>
      <c r="S28" s="145">
        <v>12.301</v>
      </c>
      <c r="T28" s="160">
        <f>SUM('2025'!AG119:AG122)/1000</f>
        <v>5.5919999999999996</v>
      </c>
      <c r="U28" s="146"/>
      <c r="V28" s="147"/>
      <c r="W28" s="147"/>
      <c r="X28" s="147"/>
      <c r="Y28" s="147"/>
      <c r="Z28" s="147"/>
      <c r="AA28" s="148"/>
      <c r="AB28" s="144">
        <v>804.82</v>
      </c>
      <c r="AC28" s="145">
        <v>790.41600000000005</v>
      </c>
      <c r="AD28" s="145">
        <v>920.57</v>
      </c>
      <c r="AE28" s="145">
        <v>649.15200000000004</v>
      </c>
      <c r="AF28" s="145">
        <v>550.19000000000005</v>
      </c>
      <c r="AG28" s="145">
        <v>481.12</v>
      </c>
      <c r="AH28" s="199">
        <f>'2025'!AG123/3.6</f>
        <v>90.572222222222223</v>
      </c>
      <c r="AI28" s="146"/>
      <c r="AJ28" s="147"/>
      <c r="AK28" s="147"/>
      <c r="AL28" s="147"/>
      <c r="AM28" s="147"/>
      <c r="AN28" s="147"/>
      <c r="AO28" s="148"/>
      <c r="AP28" s="146"/>
      <c r="AQ28" s="149">
        <v>450</v>
      </c>
      <c r="AR28" s="149">
        <v>609</v>
      </c>
      <c r="AS28" s="149">
        <v>537</v>
      </c>
      <c r="AT28" s="149">
        <v>373</v>
      </c>
      <c r="AU28" s="149">
        <v>373.9</v>
      </c>
      <c r="AV28" s="162">
        <f>'2025'!AG124-'2025'!AG204</f>
        <v>71.320999999999998</v>
      </c>
    </row>
    <row r="29" spans="1:48" s="150" customFormat="1" ht="12.75" customHeight="1" x14ac:dyDescent="0.2">
      <c r="A29" s="140" t="s">
        <v>268</v>
      </c>
      <c r="B29" s="12" t="s">
        <v>535</v>
      </c>
      <c r="C29" s="10" t="s">
        <v>2</v>
      </c>
      <c r="D29" s="10" t="s">
        <v>4</v>
      </c>
      <c r="E29" s="11" t="s">
        <v>71</v>
      </c>
      <c r="F29" s="11" t="s">
        <v>71</v>
      </c>
      <c r="G29" s="12" t="s">
        <v>9</v>
      </c>
      <c r="H29" s="12">
        <v>2</v>
      </c>
      <c r="I29" s="14">
        <v>1799.5</v>
      </c>
      <c r="J29" s="142" t="s">
        <v>301</v>
      </c>
      <c r="K29" s="12" t="s">
        <v>150</v>
      </c>
      <c r="L29" s="12" t="s">
        <v>124</v>
      </c>
      <c r="M29" s="143" t="s">
        <v>97</v>
      </c>
      <c r="N29" s="144">
        <v>103.3</v>
      </c>
      <c r="O29" s="145">
        <v>89.87</v>
      </c>
      <c r="P29" s="145">
        <v>113.65</v>
      </c>
      <c r="Q29" s="145">
        <v>128</v>
      </c>
      <c r="R29" s="145">
        <v>122.667</v>
      </c>
      <c r="S29" s="145">
        <v>123.726</v>
      </c>
      <c r="T29" s="160">
        <f>'2025'!AG125/1000</f>
        <v>56.57</v>
      </c>
      <c r="U29" s="146"/>
      <c r="V29" s="147"/>
      <c r="W29" s="147"/>
      <c r="X29" s="147"/>
      <c r="Y29" s="147"/>
      <c r="Z29" s="147"/>
      <c r="AA29" s="148"/>
      <c r="AB29" s="144">
        <v>686.66</v>
      </c>
      <c r="AC29" s="145">
        <v>568.09</v>
      </c>
      <c r="AD29" s="145">
        <v>664.58</v>
      </c>
      <c r="AE29" s="145">
        <v>581.13</v>
      </c>
      <c r="AF29" s="145">
        <v>513.13</v>
      </c>
      <c r="AG29" s="145">
        <v>570.69000000000005</v>
      </c>
      <c r="AH29" s="199">
        <f>'2025'!AG126/3.6</f>
        <v>97.805555555555557</v>
      </c>
      <c r="AI29" s="146"/>
      <c r="AJ29" s="147"/>
      <c r="AK29" s="147"/>
      <c r="AL29" s="147"/>
      <c r="AM29" s="147"/>
      <c r="AN29" s="147"/>
      <c r="AO29" s="148"/>
      <c r="AP29" s="146"/>
      <c r="AQ29" s="149">
        <v>979</v>
      </c>
      <c r="AR29" s="149">
        <v>1249</v>
      </c>
      <c r="AS29" s="149">
        <v>1438</v>
      </c>
      <c r="AT29" s="149">
        <v>1632</v>
      </c>
      <c r="AU29" s="149">
        <v>1560</v>
      </c>
      <c r="AV29" s="162">
        <f>'2025'!AG127</f>
        <v>683</v>
      </c>
    </row>
    <row r="30" spans="1:48" s="5" customFormat="1" ht="14.65" customHeight="1" x14ac:dyDescent="0.25">
      <c r="A30" s="192" t="s">
        <v>269</v>
      </c>
      <c r="B30" s="8" t="s">
        <v>3</v>
      </c>
      <c r="C30" s="9" t="s">
        <v>3</v>
      </c>
      <c r="D30" s="10" t="s">
        <v>12</v>
      </c>
      <c r="E30" s="11" t="s">
        <v>80</v>
      </c>
      <c r="F30" s="11" t="s">
        <v>709</v>
      </c>
      <c r="G30" s="12" t="s">
        <v>8</v>
      </c>
      <c r="H30" s="8">
        <v>4</v>
      </c>
      <c r="I30" s="14">
        <v>3839.4</v>
      </c>
      <c r="J30" s="14" t="s">
        <v>301</v>
      </c>
      <c r="K30" s="12" t="s">
        <v>151</v>
      </c>
      <c r="L30" s="12" t="s">
        <v>152</v>
      </c>
      <c r="M30" s="16" t="s">
        <v>98</v>
      </c>
      <c r="N30" s="33">
        <v>44.978000000000002</v>
      </c>
      <c r="O30" s="194">
        <v>30.81</v>
      </c>
      <c r="P30" s="194">
        <v>33.47</v>
      </c>
      <c r="Q30" s="194">
        <v>44.38</v>
      </c>
      <c r="R30" s="194">
        <v>46.165000000000006</v>
      </c>
      <c r="S30" s="194">
        <v>46.917999999999999</v>
      </c>
      <c r="T30" s="160">
        <f>SUM('2025'!AG128:AG129)/1000</f>
        <v>20.995999999999999</v>
      </c>
      <c r="U30" s="76"/>
      <c r="V30" s="77"/>
      <c r="W30" s="77"/>
      <c r="X30" s="77"/>
      <c r="Y30" s="77"/>
      <c r="Z30" s="77"/>
      <c r="AA30" s="78"/>
      <c r="AB30" s="33">
        <v>824.1</v>
      </c>
      <c r="AC30" s="194">
        <v>603.29999999999995</v>
      </c>
      <c r="AD30" s="194">
        <v>844.30799999999999</v>
      </c>
      <c r="AE30" s="194">
        <v>758.01600000000008</v>
      </c>
      <c r="AF30" s="194">
        <v>676.9</v>
      </c>
      <c r="AG30" s="194">
        <v>587.20000000000005</v>
      </c>
      <c r="AH30" s="160">
        <f>'2025'!AG130/3.6</f>
        <v>147.24999999999997</v>
      </c>
      <c r="AI30" s="76"/>
      <c r="AJ30" s="77"/>
      <c r="AK30" s="77"/>
      <c r="AL30" s="77"/>
      <c r="AM30" s="77"/>
      <c r="AN30" s="77"/>
      <c r="AO30" s="78"/>
      <c r="AP30" s="76"/>
      <c r="AQ30" s="193">
        <v>822</v>
      </c>
      <c r="AR30" s="193">
        <v>789</v>
      </c>
      <c r="AS30" s="193">
        <v>1160</v>
      </c>
      <c r="AT30" s="193">
        <v>1717</v>
      </c>
      <c r="AU30" s="193">
        <v>1268</v>
      </c>
      <c r="AV30" s="162">
        <f>'2025'!AG131</f>
        <v>628</v>
      </c>
    </row>
    <row r="31" spans="1:48" s="5" customFormat="1" ht="16.5" customHeight="1" x14ac:dyDescent="0.25">
      <c r="A31" s="192" t="s">
        <v>270</v>
      </c>
      <c r="B31" s="283" t="s">
        <v>197</v>
      </c>
      <c r="C31" s="9" t="s">
        <v>315</v>
      </c>
      <c r="D31" s="10" t="s">
        <v>239</v>
      </c>
      <c r="E31" s="11" t="s">
        <v>74</v>
      </c>
      <c r="F31" s="11" t="s">
        <v>713</v>
      </c>
      <c r="G31" s="12" t="s">
        <v>24</v>
      </c>
      <c r="H31" s="8">
        <v>5</v>
      </c>
      <c r="I31" s="14">
        <v>1644.5</v>
      </c>
      <c r="J31" s="14" t="s">
        <v>300</v>
      </c>
      <c r="K31" s="12" t="s">
        <v>140</v>
      </c>
      <c r="L31" s="12" t="s">
        <v>156</v>
      </c>
      <c r="M31" s="16" t="s">
        <v>225</v>
      </c>
      <c r="N31" s="33">
        <v>6.8199999999999994</v>
      </c>
      <c r="O31" s="194">
        <v>9.06</v>
      </c>
      <c r="P31" s="194">
        <v>10.26</v>
      </c>
      <c r="Q31" s="194">
        <v>10.39</v>
      </c>
      <c r="R31" s="194">
        <v>9.4700000000000006</v>
      </c>
      <c r="S31" s="194">
        <v>9.7200000000000006</v>
      </c>
      <c r="T31" s="160">
        <f>SUM('2025'!AG132:AG133)/1000</f>
        <v>4.2919999999999998</v>
      </c>
      <c r="U31" s="76"/>
      <c r="V31" s="77"/>
      <c r="W31" s="77"/>
      <c r="X31" s="77"/>
      <c r="Y31" s="77"/>
      <c r="Z31" s="77"/>
      <c r="AA31" s="78"/>
      <c r="AB31" s="33">
        <v>604.83399170748862</v>
      </c>
      <c r="AC31" s="194">
        <v>700.99199999999996</v>
      </c>
      <c r="AD31" s="194">
        <v>800.78399999999999</v>
      </c>
      <c r="AE31" s="194">
        <v>686.08800000000008</v>
      </c>
      <c r="AF31" s="194">
        <v>572.05700000000002</v>
      </c>
      <c r="AG31" s="194">
        <v>556</v>
      </c>
      <c r="AH31" s="160">
        <f>'2025'!AG134/3.6</f>
        <v>110.88888888888889</v>
      </c>
      <c r="AI31" s="76"/>
      <c r="AJ31" s="77"/>
      <c r="AK31" s="77"/>
      <c r="AL31" s="77"/>
      <c r="AM31" s="77"/>
      <c r="AN31" s="77"/>
      <c r="AO31" s="78"/>
      <c r="AP31" s="76"/>
      <c r="AQ31" s="193">
        <v>1550</v>
      </c>
      <c r="AR31" s="193">
        <v>1621</v>
      </c>
      <c r="AS31" s="193">
        <v>1351</v>
      </c>
      <c r="AT31" s="193">
        <v>1083</v>
      </c>
      <c r="AU31" s="193">
        <v>1251</v>
      </c>
      <c r="AV31" s="162">
        <f>'2025'!AG135</f>
        <v>554</v>
      </c>
    </row>
    <row r="32" spans="1:48" s="5" customFormat="1" ht="16.5" customHeight="1" x14ac:dyDescent="0.25">
      <c r="A32" s="192" t="s">
        <v>271</v>
      </c>
      <c r="B32" s="285"/>
      <c r="C32" s="9" t="s">
        <v>316</v>
      </c>
      <c r="D32" s="10" t="s">
        <v>65</v>
      </c>
      <c r="E32" s="11" t="s">
        <v>74</v>
      </c>
      <c r="F32" s="11" t="s">
        <v>713</v>
      </c>
      <c r="G32" s="12" t="s">
        <v>24</v>
      </c>
      <c r="H32" s="8">
        <v>3</v>
      </c>
      <c r="I32" s="14">
        <v>1531.8</v>
      </c>
      <c r="J32" s="14" t="s">
        <v>301</v>
      </c>
      <c r="K32" s="12" t="s">
        <v>140</v>
      </c>
      <c r="L32" s="12" t="s">
        <v>126</v>
      </c>
      <c r="M32" s="16" t="s">
        <v>226</v>
      </c>
      <c r="N32" s="33">
        <v>3.0880000000000001</v>
      </c>
      <c r="O32" s="194">
        <v>2.64</v>
      </c>
      <c r="P32" s="194">
        <v>2.4700000000000002</v>
      </c>
      <c r="Q32" s="194">
        <v>2.33</v>
      </c>
      <c r="R32" s="194">
        <v>3.0880000000000001</v>
      </c>
      <c r="S32" s="194">
        <v>3.82</v>
      </c>
      <c r="T32" s="160">
        <f>'2025'!AG136/1000</f>
        <v>2.9359999999999999</v>
      </c>
      <c r="U32" s="76"/>
      <c r="V32" s="77"/>
      <c r="W32" s="77"/>
      <c r="X32" s="77"/>
      <c r="Y32" s="77"/>
      <c r="Z32" s="77"/>
      <c r="AA32" s="78"/>
      <c r="AB32" s="33">
        <v>540.16590501066139</v>
      </c>
      <c r="AC32" s="194">
        <v>540.9</v>
      </c>
      <c r="AD32" s="194">
        <v>604.548</v>
      </c>
      <c r="AE32" s="194">
        <v>569.08800000000008</v>
      </c>
      <c r="AF32" s="194">
        <v>511.14299999999997</v>
      </c>
      <c r="AG32" s="194">
        <v>528</v>
      </c>
      <c r="AH32" s="160">
        <f>'2025'!AG137/3.6</f>
        <v>71.638888888888886</v>
      </c>
      <c r="AI32" s="76"/>
      <c r="AJ32" s="77"/>
      <c r="AK32" s="77"/>
      <c r="AL32" s="77"/>
      <c r="AM32" s="77"/>
      <c r="AN32" s="77"/>
      <c r="AO32" s="78"/>
      <c r="AP32" s="76"/>
      <c r="AQ32" s="193">
        <v>588</v>
      </c>
      <c r="AR32" s="193">
        <v>590</v>
      </c>
      <c r="AS32" s="193">
        <v>627</v>
      </c>
      <c r="AT32" s="193">
        <v>533</v>
      </c>
      <c r="AU32" s="193">
        <v>484</v>
      </c>
      <c r="AV32" s="162">
        <f>'2025'!AG138</f>
        <v>217</v>
      </c>
    </row>
    <row r="33" spans="1:48" s="5" customFormat="1" ht="14.65" customHeight="1" x14ac:dyDescent="0.25">
      <c r="A33" s="86"/>
      <c r="B33" s="283" t="s">
        <v>196</v>
      </c>
      <c r="C33" s="79" t="s">
        <v>182</v>
      </c>
      <c r="D33" s="80" t="s">
        <v>58</v>
      </c>
      <c r="E33" s="81" t="s">
        <v>73</v>
      </c>
      <c r="F33" s="81"/>
      <c r="G33" s="82" t="s">
        <v>66</v>
      </c>
      <c r="H33" s="83">
        <v>1</v>
      </c>
      <c r="I33" s="84">
        <v>192</v>
      </c>
      <c r="J33" s="84" t="s">
        <v>305</v>
      </c>
      <c r="K33" s="82" t="s">
        <v>30</v>
      </c>
      <c r="L33" s="82" t="s">
        <v>30</v>
      </c>
      <c r="M33" s="85" t="s">
        <v>244</v>
      </c>
      <c r="N33" s="70">
        <v>16.43</v>
      </c>
      <c r="O33" s="71">
        <v>16.562000000000001</v>
      </c>
      <c r="P33" s="71">
        <v>13.824</v>
      </c>
      <c r="Q33" s="71">
        <v>10.907999999999999</v>
      </c>
      <c r="R33" s="71">
        <v>11.41</v>
      </c>
      <c r="S33" s="71">
        <v>10.631</v>
      </c>
      <c r="T33" s="164">
        <f>SUM('2025'!AG139:AG140)/1000</f>
        <v>0</v>
      </c>
      <c r="U33" s="70"/>
      <c r="V33" s="71"/>
      <c r="W33" s="71"/>
      <c r="X33" s="71"/>
      <c r="Y33" s="71"/>
      <c r="Z33" s="71"/>
      <c r="AA33" s="72"/>
      <c r="AB33" s="70"/>
      <c r="AC33" s="71"/>
      <c r="AD33" s="71"/>
      <c r="AE33" s="71"/>
      <c r="AF33" s="71"/>
      <c r="AG33" s="71"/>
      <c r="AH33" s="72"/>
      <c r="AI33" s="70"/>
      <c r="AJ33" s="71"/>
      <c r="AK33" s="71"/>
      <c r="AL33" s="71"/>
      <c r="AM33" s="71"/>
      <c r="AN33" s="71"/>
      <c r="AO33" s="72"/>
      <c r="AP33" s="70"/>
      <c r="AQ33" s="97"/>
      <c r="AR33" s="97"/>
      <c r="AS33" s="97"/>
      <c r="AT33" s="97"/>
      <c r="AU33" s="97"/>
      <c r="AV33" s="98"/>
    </row>
    <row r="34" spans="1:48" s="5" customFormat="1" ht="14.65" customHeight="1" x14ac:dyDescent="0.25">
      <c r="A34" s="192" t="s">
        <v>272</v>
      </c>
      <c r="B34" s="284"/>
      <c r="C34" s="9" t="s">
        <v>189</v>
      </c>
      <c r="D34" s="10" t="s">
        <v>64</v>
      </c>
      <c r="E34" s="11" t="s">
        <v>73</v>
      </c>
      <c r="F34" s="11" t="s">
        <v>73</v>
      </c>
      <c r="G34" s="12" t="s">
        <v>66</v>
      </c>
      <c r="H34" s="8">
        <v>1</v>
      </c>
      <c r="I34" s="152">
        <v>138.6</v>
      </c>
      <c r="J34" s="14" t="s">
        <v>300</v>
      </c>
      <c r="K34" s="12" t="s">
        <v>168</v>
      </c>
      <c r="L34" s="12">
        <v>4</v>
      </c>
      <c r="M34" s="16" t="s">
        <v>289</v>
      </c>
      <c r="N34" s="33">
        <v>74.3</v>
      </c>
      <c r="O34" s="194">
        <v>79.206000000000003</v>
      </c>
      <c r="P34" s="194">
        <v>57.972999999999999</v>
      </c>
      <c r="Q34" s="194">
        <v>29.968</v>
      </c>
      <c r="R34" s="194">
        <v>25.596</v>
      </c>
      <c r="S34" s="194">
        <v>34.758000000000003</v>
      </c>
      <c r="T34" s="160">
        <f>SUM('2025'!AG141:AG142)/1000</f>
        <v>13.817</v>
      </c>
      <c r="U34" s="76"/>
      <c r="V34" s="77"/>
      <c r="W34" s="77"/>
      <c r="X34" s="77"/>
      <c r="Y34" s="77"/>
      <c r="Z34" s="77"/>
      <c r="AA34" s="78"/>
      <c r="AB34" s="33">
        <v>199.8</v>
      </c>
      <c r="AC34" s="194">
        <v>229</v>
      </c>
      <c r="AD34" s="194">
        <v>215</v>
      </c>
      <c r="AE34" s="194">
        <v>201.2</v>
      </c>
      <c r="AF34" s="194">
        <v>189.9</v>
      </c>
      <c r="AG34" s="194">
        <v>196</v>
      </c>
      <c r="AH34" s="160">
        <f>'2025'!AG143/3.6</f>
        <v>34.361111111111121</v>
      </c>
      <c r="AI34" s="76"/>
      <c r="AJ34" s="77"/>
      <c r="AK34" s="77"/>
      <c r="AL34" s="77"/>
      <c r="AM34" s="77"/>
      <c r="AN34" s="77"/>
      <c r="AO34" s="78"/>
      <c r="AP34" s="76"/>
      <c r="AQ34" s="193">
        <v>73</v>
      </c>
      <c r="AR34" s="193">
        <v>69</v>
      </c>
      <c r="AS34" s="193">
        <v>61</v>
      </c>
      <c r="AT34" s="193">
        <v>49</v>
      </c>
      <c r="AU34" s="193">
        <v>56</v>
      </c>
      <c r="AV34" s="162">
        <f>'2025'!AG144</f>
        <v>24</v>
      </c>
    </row>
    <row r="35" spans="1:48" s="5" customFormat="1" ht="14.65" customHeight="1" x14ac:dyDescent="0.25">
      <c r="A35" s="192" t="s">
        <v>273</v>
      </c>
      <c r="B35" s="285"/>
      <c r="C35" s="9" t="s">
        <v>190</v>
      </c>
      <c r="D35" s="10" t="s">
        <v>59</v>
      </c>
      <c r="E35" s="11" t="s">
        <v>73</v>
      </c>
      <c r="F35" s="11" t="s">
        <v>73</v>
      </c>
      <c r="G35" s="12" t="s">
        <v>209</v>
      </c>
      <c r="H35" s="8">
        <v>1</v>
      </c>
      <c r="I35" s="14">
        <v>189.1</v>
      </c>
      <c r="J35" s="14" t="s">
        <v>300</v>
      </c>
      <c r="K35" s="12" t="s">
        <v>168</v>
      </c>
      <c r="L35" s="12">
        <v>3</v>
      </c>
      <c r="M35" s="16" t="s">
        <v>290</v>
      </c>
      <c r="N35" s="33">
        <v>2.2839999999999998</v>
      </c>
      <c r="O35" s="194">
        <v>2.298</v>
      </c>
      <c r="P35" s="194">
        <v>2.4500000000000002</v>
      </c>
      <c r="Q35" s="194">
        <v>2.29</v>
      </c>
      <c r="R35" s="194">
        <v>2.3839999999999999</v>
      </c>
      <c r="S35" s="194">
        <v>2.6269999999999998</v>
      </c>
      <c r="T35" s="160">
        <f>'2025'!AG145/1000</f>
        <v>0.98399999999999999</v>
      </c>
      <c r="U35" s="76"/>
      <c r="V35" s="77"/>
      <c r="W35" s="77"/>
      <c r="X35" s="77"/>
      <c r="Y35" s="77"/>
      <c r="Z35" s="77"/>
      <c r="AA35" s="78"/>
      <c r="AB35" s="33">
        <v>131.3604</v>
      </c>
      <c r="AC35" s="194">
        <v>146</v>
      </c>
      <c r="AD35" s="194">
        <v>171</v>
      </c>
      <c r="AE35" s="194">
        <v>152</v>
      </c>
      <c r="AF35" s="194">
        <v>145.93600000000001</v>
      </c>
      <c r="AG35" s="194">
        <v>131</v>
      </c>
      <c r="AH35" s="160">
        <f>'2025'!AG146/3.6</f>
        <v>29.380555555555553</v>
      </c>
      <c r="AI35" s="76"/>
      <c r="AJ35" s="77"/>
      <c r="AK35" s="77"/>
      <c r="AL35" s="77"/>
      <c r="AM35" s="77"/>
      <c r="AN35" s="77"/>
      <c r="AO35" s="78"/>
      <c r="AP35" s="76"/>
      <c r="AQ35" s="193">
        <v>18</v>
      </c>
      <c r="AR35" s="193">
        <v>19</v>
      </c>
      <c r="AS35" s="193">
        <v>22</v>
      </c>
      <c r="AT35" s="193">
        <v>24</v>
      </c>
      <c r="AU35" s="193">
        <v>30</v>
      </c>
      <c r="AV35" s="162">
        <f>'2025'!AG147</f>
        <v>0</v>
      </c>
    </row>
    <row r="36" spans="1:48" s="5" customFormat="1" ht="14.65" customHeight="1" x14ac:dyDescent="0.25">
      <c r="A36" s="192" t="s">
        <v>274</v>
      </c>
      <c r="B36" s="283" t="s">
        <v>195</v>
      </c>
      <c r="C36" s="9" t="s">
        <v>198</v>
      </c>
      <c r="D36" s="10" t="s">
        <v>43</v>
      </c>
      <c r="E36" s="287" t="s">
        <v>93</v>
      </c>
      <c r="F36" s="287" t="s">
        <v>725</v>
      </c>
      <c r="G36" s="12" t="s">
        <v>5</v>
      </c>
      <c r="H36" s="8">
        <v>3</v>
      </c>
      <c r="I36" s="14">
        <v>511.8</v>
      </c>
      <c r="J36" s="14" t="s">
        <v>307</v>
      </c>
      <c r="K36" s="12" t="s">
        <v>176</v>
      </c>
      <c r="L36" s="12">
        <v>40</v>
      </c>
      <c r="M36" s="16" t="s">
        <v>185</v>
      </c>
      <c r="N36" s="264">
        <v>158.01499999999999</v>
      </c>
      <c r="O36" s="258">
        <v>129.84500000000003</v>
      </c>
      <c r="P36" s="258">
        <v>101.42</v>
      </c>
      <c r="Q36" s="258">
        <v>111.23</v>
      </c>
      <c r="R36" s="258">
        <v>111.29300000000001</v>
      </c>
      <c r="S36" s="258">
        <v>117.13500000000001</v>
      </c>
      <c r="T36" s="242">
        <f>SUM('2025'!AG149:AG150)/1000</f>
        <v>59.317</v>
      </c>
      <c r="U36" s="76"/>
      <c r="V36" s="77"/>
      <c r="W36" s="77"/>
      <c r="X36" s="77"/>
      <c r="Y36" s="77"/>
      <c r="Z36" s="77"/>
      <c r="AA36" s="78"/>
      <c r="AB36" s="76"/>
      <c r="AC36" s="77"/>
      <c r="AD36" s="77"/>
      <c r="AE36" s="77"/>
      <c r="AF36" s="77"/>
      <c r="AG36" s="77"/>
      <c r="AH36" s="78"/>
      <c r="AI36" s="33">
        <v>407.83109999999999</v>
      </c>
      <c r="AJ36" s="194">
        <v>393.16</v>
      </c>
      <c r="AK36" s="194">
        <v>396.64</v>
      </c>
      <c r="AL36" s="194">
        <v>192.52</v>
      </c>
      <c r="AM36" s="194">
        <v>211.73779999999999</v>
      </c>
      <c r="AN36" s="194">
        <v>178.65600000000001</v>
      </c>
      <c r="AO36" s="222">
        <f>'2025'!AG152</f>
        <v>33.119999999999997</v>
      </c>
      <c r="AP36" s="261"/>
      <c r="AQ36" s="252">
        <v>3198</v>
      </c>
      <c r="AR36" s="252">
        <v>3183</v>
      </c>
      <c r="AS36" s="252">
        <v>3168</v>
      </c>
      <c r="AT36" s="252">
        <v>4048</v>
      </c>
      <c r="AU36" s="252">
        <v>1184</v>
      </c>
      <c r="AV36" s="255">
        <f>'2025'!AG148+'2025'!AG151</f>
        <v>335</v>
      </c>
    </row>
    <row r="37" spans="1:48" s="5" customFormat="1" ht="14.65" customHeight="1" x14ac:dyDescent="0.25">
      <c r="A37" s="192" t="s">
        <v>275</v>
      </c>
      <c r="B37" s="284"/>
      <c r="C37" s="9" t="s">
        <v>199</v>
      </c>
      <c r="D37" s="10" t="s">
        <v>240</v>
      </c>
      <c r="E37" s="288"/>
      <c r="F37" s="288"/>
      <c r="G37" s="12" t="s">
        <v>201</v>
      </c>
      <c r="H37" s="8">
        <v>2</v>
      </c>
      <c r="I37" s="14">
        <v>869</v>
      </c>
      <c r="J37" s="14" t="s">
        <v>307</v>
      </c>
      <c r="K37" s="12" t="s">
        <v>175</v>
      </c>
      <c r="L37" s="12">
        <v>90</v>
      </c>
      <c r="M37" s="16" t="s">
        <v>231</v>
      </c>
      <c r="N37" s="265"/>
      <c r="O37" s="259"/>
      <c r="P37" s="259"/>
      <c r="Q37" s="259"/>
      <c r="R37" s="259"/>
      <c r="S37" s="259"/>
      <c r="T37" s="243">
        <f>SUM('2025'!AG144:AG145)/1000</f>
        <v>1.008</v>
      </c>
      <c r="U37" s="76"/>
      <c r="V37" s="77"/>
      <c r="W37" s="77"/>
      <c r="X37" s="77"/>
      <c r="Y37" s="77"/>
      <c r="Z37" s="77"/>
      <c r="AA37" s="78"/>
      <c r="AB37" s="76"/>
      <c r="AC37" s="77"/>
      <c r="AD37" s="77"/>
      <c r="AE37" s="77"/>
      <c r="AF37" s="77"/>
      <c r="AG37" s="77"/>
      <c r="AH37" s="78"/>
      <c r="AI37" s="76"/>
      <c r="AJ37" s="77"/>
      <c r="AK37" s="77"/>
      <c r="AL37" s="77"/>
      <c r="AM37" s="77"/>
      <c r="AN37" s="77"/>
      <c r="AO37" s="78"/>
      <c r="AP37" s="262"/>
      <c r="AQ37" s="253"/>
      <c r="AR37" s="253"/>
      <c r="AS37" s="253"/>
      <c r="AT37" s="253"/>
      <c r="AU37" s="253"/>
      <c r="AV37" s="256">
        <f>'2025'!AG115+'2025'!AG116</f>
        <v>1271.4060000000004</v>
      </c>
    </row>
    <row r="38" spans="1:48" s="5" customFormat="1" ht="14.65" customHeight="1" x14ac:dyDescent="0.25">
      <c r="A38" s="192" t="s">
        <v>276</v>
      </c>
      <c r="B38" s="285"/>
      <c r="C38" s="9" t="s">
        <v>200</v>
      </c>
      <c r="D38" s="10" t="s">
        <v>217</v>
      </c>
      <c r="E38" s="289"/>
      <c r="F38" s="289"/>
      <c r="G38" s="12" t="s">
        <v>297</v>
      </c>
      <c r="H38" s="8">
        <v>1</v>
      </c>
      <c r="I38" s="152">
        <v>848.95</v>
      </c>
      <c r="J38" s="14" t="s">
        <v>307</v>
      </c>
      <c r="K38" s="12" t="s">
        <v>218</v>
      </c>
      <c r="L38" s="12">
        <v>4</v>
      </c>
      <c r="M38" s="16" t="s">
        <v>232</v>
      </c>
      <c r="N38" s="266"/>
      <c r="O38" s="260"/>
      <c r="P38" s="260"/>
      <c r="Q38" s="260"/>
      <c r="R38" s="260"/>
      <c r="S38" s="260"/>
      <c r="T38" s="244">
        <f>SUM('2025'!AG145:AG146)/1000</f>
        <v>1.0897699999999999</v>
      </c>
      <c r="U38" s="76"/>
      <c r="V38" s="77"/>
      <c r="W38" s="77"/>
      <c r="X38" s="77"/>
      <c r="Y38" s="77"/>
      <c r="Z38" s="77"/>
      <c r="AA38" s="78"/>
      <c r="AB38" s="76"/>
      <c r="AC38" s="77"/>
      <c r="AD38" s="77"/>
      <c r="AE38" s="77"/>
      <c r="AF38" s="77"/>
      <c r="AG38" s="77"/>
      <c r="AH38" s="78"/>
      <c r="AI38" s="76"/>
      <c r="AJ38" s="77"/>
      <c r="AK38" s="77"/>
      <c r="AL38" s="77"/>
      <c r="AM38" s="77"/>
      <c r="AN38" s="77"/>
      <c r="AO38" s="78"/>
      <c r="AP38" s="263"/>
      <c r="AQ38" s="254"/>
      <c r="AR38" s="254"/>
      <c r="AS38" s="254"/>
      <c r="AT38" s="254"/>
      <c r="AU38" s="254"/>
      <c r="AV38" s="257">
        <f>'2025'!AG116+'2025'!AG117</f>
        <v>821.71600000000024</v>
      </c>
    </row>
    <row r="39" spans="1:48" s="5" customFormat="1" ht="14.65" customHeight="1" x14ac:dyDescent="0.25">
      <c r="A39" s="192" t="s">
        <v>277</v>
      </c>
      <c r="B39" s="283" t="s">
        <v>210</v>
      </c>
      <c r="C39" s="10" t="s">
        <v>184</v>
      </c>
      <c r="D39" s="10" t="s">
        <v>44</v>
      </c>
      <c r="E39" s="11" t="s">
        <v>72</v>
      </c>
      <c r="F39" s="11" t="s">
        <v>715</v>
      </c>
      <c r="G39" s="12" t="s">
        <v>51</v>
      </c>
      <c r="H39" s="8">
        <v>1</v>
      </c>
      <c r="I39" s="14" t="s">
        <v>293</v>
      </c>
      <c r="J39" s="14" t="s">
        <v>303</v>
      </c>
      <c r="K39" s="12" t="s">
        <v>174</v>
      </c>
      <c r="L39" s="12">
        <v>2</v>
      </c>
      <c r="M39" s="16" t="s">
        <v>230</v>
      </c>
      <c r="N39" s="33">
        <v>4.3220000000000001</v>
      </c>
      <c r="O39" s="194">
        <v>4.3099999999999996</v>
      </c>
      <c r="P39" s="194">
        <v>3.78</v>
      </c>
      <c r="Q39" s="194">
        <v>4.34</v>
      </c>
      <c r="R39" s="194">
        <v>6.6890000000000001</v>
      </c>
      <c r="S39" s="194">
        <v>6.5010000000000003</v>
      </c>
      <c r="T39" s="160">
        <f>'2025'!AG153/1000</f>
        <v>3.8319999999999999</v>
      </c>
      <c r="U39" s="33">
        <v>37.002749999999999</v>
      </c>
      <c r="V39" s="194">
        <v>35.950000000000003</v>
      </c>
      <c r="W39" s="194">
        <v>36.729999999999997</v>
      </c>
      <c r="X39" s="194">
        <v>30.86</v>
      </c>
      <c r="Y39" s="194">
        <v>32.473999999999997</v>
      </c>
      <c r="Z39" s="221">
        <v>14.62717</v>
      </c>
      <c r="AA39" s="160">
        <f>'2025'!AG154/1000*$N$62</f>
        <v>75.6394500806</v>
      </c>
      <c r="AB39" s="76"/>
      <c r="AC39" s="77"/>
      <c r="AD39" s="77"/>
      <c r="AE39" s="77"/>
      <c r="AF39" s="77"/>
      <c r="AG39" s="77"/>
      <c r="AH39" s="78"/>
      <c r="AI39" s="76"/>
      <c r="AJ39" s="77"/>
      <c r="AK39" s="77"/>
      <c r="AL39" s="77"/>
      <c r="AM39" s="77"/>
      <c r="AN39" s="77"/>
      <c r="AO39" s="78"/>
      <c r="AP39" s="76"/>
      <c r="AQ39" s="193">
        <v>190</v>
      </c>
      <c r="AR39" s="193">
        <v>186</v>
      </c>
      <c r="AS39" s="193">
        <v>153</v>
      </c>
      <c r="AT39" s="193">
        <v>48</v>
      </c>
      <c r="AU39" s="193">
        <v>27.52</v>
      </c>
      <c r="AV39" s="162">
        <f>'2025'!AG155</f>
        <v>13.299999999999955</v>
      </c>
    </row>
    <row r="40" spans="1:48" s="5" customFormat="1" ht="14.65" customHeight="1" x14ac:dyDescent="0.25">
      <c r="A40" s="192" t="s">
        <v>278</v>
      </c>
      <c r="B40" s="284"/>
      <c r="C40" s="9" t="s">
        <v>183</v>
      </c>
      <c r="D40" s="10" t="s">
        <v>60</v>
      </c>
      <c r="E40" s="11" t="s">
        <v>72</v>
      </c>
      <c r="F40" s="11" t="s">
        <v>715</v>
      </c>
      <c r="G40" s="12" t="s">
        <v>63</v>
      </c>
      <c r="H40" s="8">
        <v>1</v>
      </c>
      <c r="I40" s="14">
        <v>681</v>
      </c>
      <c r="J40" s="14" t="s">
        <v>304</v>
      </c>
      <c r="K40" s="12" t="s">
        <v>172</v>
      </c>
      <c r="L40" s="12">
        <v>25</v>
      </c>
      <c r="M40" s="16" t="s">
        <v>109</v>
      </c>
      <c r="N40" s="33">
        <v>16.021000000000001</v>
      </c>
      <c r="O40" s="194">
        <v>17.010000000000002</v>
      </c>
      <c r="P40" s="194">
        <v>17.920000000000002</v>
      </c>
      <c r="Q40" s="194">
        <v>17.29</v>
      </c>
      <c r="R40" s="194">
        <v>14.942</v>
      </c>
      <c r="S40" s="194">
        <v>13.015000000000001</v>
      </c>
      <c r="T40" s="160">
        <f>'2025'!AG156/1000</f>
        <v>5.5490000000000004</v>
      </c>
      <c r="U40" s="33">
        <v>105.901</v>
      </c>
      <c r="V40" s="194">
        <v>87.14</v>
      </c>
      <c r="W40" s="194">
        <v>115.79</v>
      </c>
      <c r="X40" s="194">
        <v>91.95</v>
      </c>
      <c r="Y40" s="194">
        <v>75.673000000000002</v>
      </c>
      <c r="Z40" s="194">
        <v>80.878</v>
      </c>
      <c r="AA40" s="160">
        <f>'2025'!AG157/3.6</f>
        <v>46.455555555555556</v>
      </c>
      <c r="AB40" s="76"/>
      <c r="AC40" s="77"/>
      <c r="AD40" s="77"/>
      <c r="AE40" s="77"/>
      <c r="AF40" s="77"/>
      <c r="AG40" s="77"/>
      <c r="AH40" s="78"/>
      <c r="AI40" s="76"/>
      <c r="AJ40" s="77"/>
      <c r="AK40" s="77"/>
      <c r="AL40" s="77"/>
      <c r="AM40" s="77"/>
      <c r="AN40" s="77"/>
      <c r="AO40" s="78"/>
      <c r="AP40" s="76"/>
      <c r="AQ40" s="193">
        <v>274</v>
      </c>
      <c r="AR40" s="193">
        <v>265</v>
      </c>
      <c r="AS40" s="193">
        <v>245</v>
      </c>
      <c r="AT40" s="193">
        <v>236</v>
      </c>
      <c r="AU40" s="193">
        <v>202.69</v>
      </c>
      <c r="AV40" s="162">
        <f>'2025'!AG158</f>
        <v>99.700000000000017</v>
      </c>
    </row>
    <row r="41" spans="1:48" s="5" customFormat="1" ht="14.65" customHeight="1" x14ac:dyDescent="0.25">
      <c r="A41" s="278" t="s">
        <v>279</v>
      </c>
      <c r="B41" s="284"/>
      <c r="C41" s="9" t="s">
        <v>46</v>
      </c>
      <c r="D41" s="10" t="s">
        <v>250</v>
      </c>
      <c r="E41" s="11" t="s">
        <v>72</v>
      </c>
      <c r="F41" s="287" t="s">
        <v>717</v>
      </c>
      <c r="G41" s="12" t="s">
        <v>39</v>
      </c>
      <c r="H41" s="8">
        <v>1</v>
      </c>
      <c r="I41" s="281">
        <v>4193.7</v>
      </c>
      <c r="J41" s="14" t="s">
        <v>300</v>
      </c>
      <c r="K41" s="12" t="s">
        <v>167</v>
      </c>
      <c r="L41" s="12" t="s">
        <v>129</v>
      </c>
      <c r="M41" s="275" t="s">
        <v>110</v>
      </c>
      <c r="N41" s="264">
        <v>100.52</v>
      </c>
      <c r="O41" s="258">
        <v>121.32</v>
      </c>
      <c r="P41" s="258">
        <v>133.19399999999999</v>
      </c>
      <c r="Q41" s="258">
        <v>74.007999999999996</v>
      </c>
      <c r="R41" s="258">
        <v>177.94800000000001</v>
      </c>
      <c r="S41" s="258">
        <v>202.51</v>
      </c>
      <c r="T41" s="242">
        <f>'2025'!AG159/1000</f>
        <v>81.573999999999998</v>
      </c>
      <c r="U41" s="76"/>
      <c r="V41" s="77"/>
      <c r="W41" s="77"/>
      <c r="X41" s="77"/>
      <c r="Y41" s="77"/>
      <c r="Z41" s="77"/>
      <c r="AA41" s="78"/>
      <c r="AB41" s="264">
        <v>3275.7</v>
      </c>
      <c r="AC41" s="258">
        <v>2752.56</v>
      </c>
      <c r="AD41" s="258">
        <v>3159.1439999999998</v>
      </c>
      <c r="AE41" s="258">
        <v>3700.8</v>
      </c>
      <c r="AF41" s="258">
        <v>3439.7015000000001</v>
      </c>
      <c r="AG41" s="249">
        <v>2817.3</v>
      </c>
      <c r="AH41" s="243">
        <f>'2025'!AG160/3.6</f>
        <v>481.58333333333326</v>
      </c>
      <c r="AI41" s="95"/>
      <c r="AJ41" s="77"/>
      <c r="AK41" s="77"/>
      <c r="AL41" s="77"/>
      <c r="AM41" s="77"/>
      <c r="AN41" s="77"/>
      <c r="AO41" s="78"/>
      <c r="AP41" s="76"/>
      <c r="AQ41" s="252">
        <v>4672</v>
      </c>
      <c r="AR41" s="252">
        <v>5781</v>
      </c>
      <c r="AS41" s="252">
        <v>4079</v>
      </c>
      <c r="AT41" s="252">
        <v>3670</v>
      </c>
      <c r="AU41" s="252">
        <v>6572</v>
      </c>
      <c r="AV41" s="239">
        <f>'2025'!AG162-'2025'!AG169-'2025'!AG165</f>
        <v>2652.7330000000002</v>
      </c>
    </row>
    <row r="42" spans="1:48" s="5" customFormat="1" ht="14.65" customHeight="1" x14ac:dyDescent="0.25">
      <c r="A42" s="279"/>
      <c r="B42" s="284"/>
      <c r="C42" s="9" t="s">
        <v>48</v>
      </c>
      <c r="D42" s="10" t="s">
        <v>250</v>
      </c>
      <c r="E42" s="11" t="s">
        <v>72</v>
      </c>
      <c r="F42" s="288"/>
      <c r="G42" s="12" t="s">
        <v>9</v>
      </c>
      <c r="H42" s="8">
        <v>2</v>
      </c>
      <c r="I42" s="282"/>
      <c r="J42" s="14" t="s">
        <v>300</v>
      </c>
      <c r="K42" s="12" t="s">
        <v>166</v>
      </c>
      <c r="L42" s="12" t="s">
        <v>130</v>
      </c>
      <c r="M42" s="276"/>
      <c r="N42" s="265"/>
      <c r="O42" s="259"/>
      <c r="P42" s="259"/>
      <c r="Q42" s="259"/>
      <c r="R42" s="259"/>
      <c r="S42" s="259"/>
      <c r="T42" s="243"/>
      <c r="U42" s="76"/>
      <c r="V42" s="77"/>
      <c r="W42" s="77"/>
      <c r="X42" s="77"/>
      <c r="Y42" s="77"/>
      <c r="Z42" s="194">
        <v>0</v>
      </c>
      <c r="AA42" s="160">
        <f>'2025'!AG161/1000*$N$62</f>
        <v>0</v>
      </c>
      <c r="AB42" s="265"/>
      <c r="AC42" s="259"/>
      <c r="AD42" s="259"/>
      <c r="AE42" s="259"/>
      <c r="AF42" s="259"/>
      <c r="AG42" s="250"/>
      <c r="AH42" s="243"/>
      <c r="AI42" s="95"/>
      <c r="AJ42" s="77"/>
      <c r="AK42" s="77"/>
      <c r="AL42" s="77"/>
      <c r="AM42" s="77"/>
      <c r="AN42" s="77"/>
      <c r="AO42" s="78"/>
      <c r="AP42" s="76"/>
      <c r="AQ42" s="253"/>
      <c r="AR42" s="253"/>
      <c r="AS42" s="253"/>
      <c r="AT42" s="253"/>
      <c r="AU42" s="253"/>
      <c r="AV42" s="240"/>
    </row>
    <row r="43" spans="1:48" s="5" customFormat="1" ht="14.65" customHeight="1" x14ac:dyDescent="0.25">
      <c r="A43" s="279"/>
      <c r="B43" s="284"/>
      <c r="C43" s="9" t="s">
        <v>103</v>
      </c>
      <c r="D43" s="10" t="s">
        <v>250</v>
      </c>
      <c r="E43" s="11" t="s">
        <v>72</v>
      </c>
      <c r="F43" s="288"/>
      <c r="G43" s="12" t="s">
        <v>39</v>
      </c>
      <c r="H43" s="8">
        <v>2</v>
      </c>
      <c r="I43" s="282"/>
      <c r="J43" s="14" t="s">
        <v>300</v>
      </c>
      <c r="K43" s="12" t="s">
        <v>165</v>
      </c>
      <c r="L43" s="12" t="s">
        <v>131</v>
      </c>
      <c r="M43" s="276"/>
      <c r="N43" s="265"/>
      <c r="O43" s="259"/>
      <c r="P43" s="259"/>
      <c r="Q43" s="259"/>
      <c r="R43" s="259"/>
      <c r="S43" s="259"/>
      <c r="T43" s="243"/>
      <c r="U43" s="76"/>
      <c r="V43" s="77"/>
      <c r="W43" s="77"/>
      <c r="X43" s="77"/>
      <c r="Y43" s="77"/>
      <c r="Z43" s="77"/>
      <c r="AA43" s="78"/>
      <c r="AB43" s="265"/>
      <c r="AC43" s="259"/>
      <c r="AD43" s="259"/>
      <c r="AE43" s="259"/>
      <c r="AF43" s="259"/>
      <c r="AG43" s="250"/>
      <c r="AH43" s="243"/>
      <c r="AI43" s="95"/>
      <c r="AJ43" s="77"/>
      <c r="AK43" s="77"/>
      <c r="AL43" s="77"/>
      <c r="AM43" s="77"/>
      <c r="AN43" s="77"/>
      <c r="AO43" s="78"/>
      <c r="AP43" s="76"/>
      <c r="AQ43" s="253"/>
      <c r="AR43" s="253"/>
      <c r="AS43" s="253"/>
      <c r="AT43" s="253"/>
      <c r="AU43" s="253"/>
      <c r="AV43" s="240"/>
    </row>
    <row r="44" spans="1:48" s="5" customFormat="1" ht="14.65" customHeight="1" x14ac:dyDescent="0.25">
      <c r="A44" s="279"/>
      <c r="B44" s="284"/>
      <c r="C44" s="9" t="s">
        <v>47</v>
      </c>
      <c r="D44" s="10" t="s">
        <v>250</v>
      </c>
      <c r="E44" s="11" t="s">
        <v>72</v>
      </c>
      <c r="F44" s="288"/>
      <c r="G44" s="12" t="s">
        <v>39</v>
      </c>
      <c r="H44" s="8">
        <v>2</v>
      </c>
      <c r="I44" s="282"/>
      <c r="J44" s="14" t="s">
        <v>308</v>
      </c>
      <c r="K44" s="12" t="s">
        <v>164</v>
      </c>
      <c r="L44" s="12" t="s">
        <v>132</v>
      </c>
      <c r="M44" s="276"/>
      <c r="N44" s="265"/>
      <c r="O44" s="259"/>
      <c r="P44" s="259"/>
      <c r="Q44" s="259"/>
      <c r="R44" s="259"/>
      <c r="S44" s="259"/>
      <c r="T44" s="243"/>
      <c r="U44" s="33">
        <v>0.56125000000000003</v>
      </c>
      <c r="V44" s="194">
        <v>0.67</v>
      </c>
      <c r="W44" s="194">
        <v>0.74</v>
      </c>
      <c r="X44" s="194">
        <v>0.33</v>
      </c>
      <c r="Y44" s="194">
        <v>0.13500000000000001</v>
      </c>
      <c r="Z44" s="219">
        <v>0.10144</v>
      </c>
      <c r="AA44" s="160">
        <f>'2025'!AG163/1000*$N$62</f>
        <v>0</v>
      </c>
      <c r="AB44" s="265"/>
      <c r="AC44" s="259"/>
      <c r="AD44" s="259"/>
      <c r="AE44" s="259"/>
      <c r="AF44" s="259"/>
      <c r="AG44" s="250"/>
      <c r="AH44" s="243"/>
      <c r="AI44" s="95"/>
      <c r="AJ44" s="77"/>
      <c r="AK44" s="77"/>
      <c r="AL44" s="77"/>
      <c r="AM44" s="77"/>
      <c r="AN44" s="77"/>
      <c r="AO44" s="78"/>
      <c r="AP44" s="76"/>
      <c r="AQ44" s="253"/>
      <c r="AR44" s="253"/>
      <c r="AS44" s="253"/>
      <c r="AT44" s="253"/>
      <c r="AU44" s="253"/>
      <c r="AV44" s="240"/>
    </row>
    <row r="45" spans="1:48" s="5" customFormat="1" ht="14.65" customHeight="1" x14ac:dyDescent="0.25">
      <c r="A45" s="279"/>
      <c r="B45" s="284"/>
      <c r="C45" s="9" t="s">
        <v>107</v>
      </c>
      <c r="D45" s="10" t="s">
        <v>250</v>
      </c>
      <c r="E45" s="11" t="s">
        <v>72</v>
      </c>
      <c r="F45" s="288"/>
      <c r="G45" s="12" t="s">
        <v>5</v>
      </c>
      <c r="H45" s="8">
        <v>2</v>
      </c>
      <c r="I45" s="282"/>
      <c r="J45" s="14" t="s">
        <v>300</v>
      </c>
      <c r="K45" s="12" t="s">
        <v>163</v>
      </c>
      <c r="L45" s="12">
        <v>10</v>
      </c>
      <c r="M45" s="277"/>
      <c r="N45" s="265"/>
      <c r="O45" s="259"/>
      <c r="P45" s="259"/>
      <c r="Q45" s="259"/>
      <c r="R45" s="259"/>
      <c r="S45" s="259"/>
      <c r="T45" s="243"/>
      <c r="U45" s="76"/>
      <c r="V45" s="77"/>
      <c r="W45" s="77"/>
      <c r="X45" s="77"/>
      <c r="Y45" s="77"/>
      <c r="Z45" s="77"/>
      <c r="AA45" s="78"/>
      <c r="AB45" s="265"/>
      <c r="AC45" s="259"/>
      <c r="AD45" s="259"/>
      <c r="AE45" s="259"/>
      <c r="AF45" s="259"/>
      <c r="AG45" s="251"/>
      <c r="AH45" s="244"/>
      <c r="AI45" s="95"/>
      <c r="AJ45" s="77"/>
      <c r="AK45" s="77"/>
      <c r="AL45" s="77"/>
      <c r="AM45" s="77"/>
      <c r="AN45" s="77"/>
      <c r="AO45" s="78"/>
      <c r="AP45" s="76"/>
      <c r="AQ45" s="253"/>
      <c r="AR45" s="253"/>
      <c r="AS45" s="253"/>
      <c r="AT45" s="253"/>
      <c r="AU45" s="253"/>
      <c r="AV45" s="241"/>
    </row>
    <row r="46" spans="1:48" s="5" customFormat="1" ht="14.65" customHeight="1" x14ac:dyDescent="0.25">
      <c r="A46" s="279"/>
      <c r="B46" s="284"/>
      <c r="C46" s="9" t="s">
        <v>78</v>
      </c>
      <c r="D46" s="10" t="s">
        <v>250</v>
      </c>
      <c r="E46" s="11" t="s">
        <v>72</v>
      </c>
      <c r="F46" s="288"/>
      <c r="G46" s="12" t="s">
        <v>39</v>
      </c>
      <c r="H46" s="8">
        <v>1</v>
      </c>
      <c r="I46" s="282"/>
      <c r="J46" s="14" t="s">
        <v>300</v>
      </c>
      <c r="K46" s="12" t="s">
        <v>162</v>
      </c>
      <c r="L46" s="12">
        <v>30</v>
      </c>
      <c r="M46" s="16" t="s">
        <v>291</v>
      </c>
      <c r="N46" s="265"/>
      <c r="O46" s="259"/>
      <c r="P46" s="259"/>
      <c r="Q46" s="259"/>
      <c r="R46" s="259"/>
      <c r="S46" s="259"/>
      <c r="T46" s="243"/>
      <c r="U46" s="76"/>
      <c r="V46" s="77"/>
      <c r="W46" s="77"/>
      <c r="X46" s="77"/>
      <c r="Y46" s="77"/>
      <c r="Z46" s="77"/>
      <c r="AA46" s="78"/>
      <c r="AB46" s="265"/>
      <c r="AC46" s="259"/>
      <c r="AD46" s="259"/>
      <c r="AE46" s="259"/>
      <c r="AF46" s="259"/>
      <c r="AG46" s="37">
        <v>358.9</v>
      </c>
      <c r="AH46" s="160">
        <f>'2025'!AG164/3.6</f>
        <v>91.777777777777786</v>
      </c>
      <c r="AI46" s="95"/>
      <c r="AJ46" s="77"/>
      <c r="AK46" s="77"/>
      <c r="AL46" s="77"/>
      <c r="AM46" s="77"/>
      <c r="AN46" s="77"/>
      <c r="AO46" s="78"/>
      <c r="AP46" s="76"/>
      <c r="AQ46" s="253"/>
      <c r="AR46" s="253"/>
      <c r="AS46" s="253"/>
      <c r="AT46" s="253"/>
      <c r="AU46" s="253"/>
      <c r="AV46" s="162">
        <f>'2025'!AG165</f>
        <v>163</v>
      </c>
    </row>
    <row r="47" spans="1:48" s="5" customFormat="1" ht="14.65" customHeight="1" x14ac:dyDescent="0.25">
      <c r="A47" s="279"/>
      <c r="B47" s="284"/>
      <c r="C47" s="9" t="s">
        <v>61</v>
      </c>
      <c r="D47" s="10" t="s">
        <v>250</v>
      </c>
      <c r="E47" s="11" t="s">
        <v>72</v>
      </c>
      <c r="F47" s="288"/>
      <c r="G47" s="12" t="s">
        <v>39</v>
      </c>
      <c r="H47" s="8">
        <v>2</v>
      </c>
      <c r="I47" s="282"/>
      <c r="J47" s="14" t="s">
        <v>300</v>
      </c>
      <c r="K47" s="12" t="s">
        <v>140</v>
      </c>
      <c r="L47" s="12">
        <v>10</v>
      </c>
      <c r="M47" s="16" t="s">
        <v>104</v>
      </c>
      <c r="N47" s="265"/>
      <c r="O47" s="259"/>
      <c r="P47" s="259"/>
      <c r="Q47" s="259"/>
      <c r="R47" s="259"/>
      <c r="S47" s="259"/>
      <c r="T47" s="243"/>
      <c r="U47" s="76"/>
      <c r="V47" s="77"/>
      <c r="W47" s="77"/>
      <c r="X47" s="77"/>
      <c r="Y47" s="77"/>
      <c r="Z47" s="77"/>
      <c r="AA47" s="78"/>
      <c r="AB47" s="265"/>
      <c r="AC47" s="259"/>
      <c r="AD47" s="259"/>
      <c r="AE47" s="259"/>
      <c r="AF47" s="259"/>
      <c r="AG47" s="249">
        <v>339.1</v>
      </c>
      <c r="AH47" s="242">
        <f>'2025'!AG167/3.6</f>
        <v>58.388888888888893</v>
      </c>
      <c r="AI47" s="95"/>
      <c r="AJ47" s="77"/>
      <c r="AK47" s="77"/>
      <c r="AL47" s="77"/>
      <c r="AM47" s="77"/>
      <c r="AN47" s="77"/>
      <c r="AO47" s="78"/>
      <c r="AP47" s="76"/>
      <c r="AQ47" s="253"/>
      <c r="AR47" s="253"/>
      <c r="AS47" s="253"/>
      <c r="AT47" s="253"/>
      <c r="AU47" s="253"/>
      <c r="AV47" s="239"/>
    </row>
    <row r="48" spans="1:48" s="5" customFormat="1" ht="14.65" customHeight="1" x14ac:dyDescent="0.25">
      <c r="A48" s="279"/>
      <c r="B48" s="284"/>
      <c r="C48" s="9" t="s">
        <v>294</v>
      </c>
      <c r="D48" s="10" t="s">
        <v>250</v>
      </c>
      <c r="E48" s="11" t="s">
        <v>72</v>
      </c>
      <c r="F48" s="288"/>
      <c r="G48" s="12" t="s">
        <v>39</v>
      </c>
      <c r="H48" s="8">
        <v>1</v>
      </c>
      <c r="I48" s="282"/>
      <c r="J48" s="14" t="s">
        <v>300</v>
      </c>
      <c r="K48" s="12" t="s">
        <v>158</v>
      </c>
      <c r="L48" s="12" t="s">
        <v>131</v>
      </c>
      <c r="M48" s="16" t="s">
        <v>104</v>
      </c>
      <c r="N48" s="265"/>
      <c r="O48" s="259"/>
      <c r="P48" s="259"/>
      <c r="Q48" s="259"/>
      <c r="R48" s="259"/>
      <c r="S48" s="259"/>
      <c r="T48" s="244"/>
      <c r="U48" s="76"/>
      <c r="V48" s="77"/>
      <c r="W48" s="77"/>
      <c r="X48" s="77"/>
      <c r="Y48" s="77"/>
      <c r="Z48" s="77"/>
      <c r="AA48" s="78"/>
      <c r="AB48" s="265"/>
      <c r="AC48" s="259"/>
      <c r="AD48" s="259"/>
      <c r="AE48" s="259"/>
      <c r="AF48" s="259"/>
      <c r="AG48" s="250"/>
      <c r="AH48" s="243">
        <f>'2025'!AG159/3.6</f>
        <v>22659.444444444445</v>
      </c>
      <c r="AI48" s="95"/>
      <c r="AJ48" s="77"/>
      <c r="AK48" s="77"/>
      <c r="AL48" s="77"/>
      <c r="AM48" s="77"/>
      <c r="AN48" s="77"/>
      <c r="AO48" s="78"/>
      <c r="AP48" s="76"/>
      <c r="AQ48" s="253"/>
      <c r="AR48" s="253"/>
      <c r="AS48" s="253"/>
      <c r="AT48" s="253"/>
      <c r="AU48" s="253"/>
      <c r="AV48" s="240"/>
    </row>
    <row r="49" spans="1:48" s="5" customFormat="1" ht="14.65" customHeight="1" x14ac:dyDescent="0.25">
      <c r="A49" s="280"/>
      <c r="B49" s="284"/>
      <c r="C49" s="9" t="s">
        <v>79</v>
      </c>
      <c r="D49" s="10" t="s">
        <v>250</v>
      </c>
      <c r="E49" s="11" t="s">
        <v>72</v>
      </c>
      <c r="F49" s="289"/>
      <c r="G49" s="12" t="s">
        <v>39</v>
      </c>
      <c r="H49" s="8">
        <v>1</v>
      </c>
      <c r="I49" s="274"/>
      <c r="J49" s="14" t="s">
        <v>300</v>
      </c>
      <c r="K49" s="12" t="s">
        <v>161</v>
      </c>
      <c r="L49" s="12">
        <v>30</v>
      </c>
      <c r="M49" s="16" t="s">
        <v>104</v>
      </c>
      <c r="N49" s="266"/>
      <c r="O49" s="260"/>
      <c r="P49" s="260"/>
      <c r="Q49" s="260"/>
      <c r="R49" s="260"/>
      <c r="S49" s="260"/>
      <c r="T49" s="160">
        <f>('2025'!AG166-'2025'!AG168)/1000</f>
        <v>1.83</v>
      </c>
      <c r="U49" s="76"/>
      <c r="V49" s="77"/>
      <c r="W49" s="77"/>
      <c r="X49" s="77"/>
      <c r="Y49" s="77"/>
      <c r="Z49" s="77"/>
      <c r="AA49" s="78"/>
      <c r="AB49" s="266"/>
      <c r="AC49" s="260"/>
      <c r="AD49" s="260"/>
      <c r="AE49" s="260"/>
      <c r="AF49" s="260"/>
      <c r="AG49" s="250"/>
      <c r="AH49" s="243">
        <f>'2025'!AG178/3.6</f>
        <v>517.5</v>
      </c>
      <c r="AI49" s="95"/>
      <c r="AJ49" s="77"/>
      <c r="AK49" s="77"/>
      <c r="AL49" s="77"/>
      <c r="AM49" s="77"/>
      <c r="AN49" s="77"/>
      <c r="AO49" s="78"/>
      <c r="AP49" s="76"/>
      <c r="AQ49" s="253"/>
      <c r="AR49" s="253"/>
      <c r="AS49" s="253"/>
      <c r="AT49" s="253"/>
      <c r="AU49" s="253"/>
      <c r="AV49" s="241"/>
    </row>
    <row r="50" spans="1:48" s="5" customFormat="1" ht="14.65" customHeight="1" x14ac:dyDescent="0.25">
      <c r="A50" s="192" t="s">
        <v>280</v>
      </c>
      <c r="B50" s="284"/>
      <c r="C50" s="9" t="s">
        <v>211</v>
      </c>
      <c r="D50" s="10" t="s">
        <v>249</v>
      </c>
      <c r="E50" s="11" t="s">
        <v>72</v>
      </c>
      <c r="F50" s="11" t="s">
        <v>717</v>
      </c>
      <c r="G50" s="12" t="s">
        <v>39</v>
      </c>
      <c r="H50" s="8">
        <v>1</v>
      </c>
      <c r="I50" s="14">
        <v>132.19</v>
      </c>
      <c r="J50" s="14" t="s">
        <v>300</v>
      </c>
      <c r="K50" s="12" t="s">
        <v>160</v>
      </c>
      <c r="L50" s="12">
        <v>30</v>
      </c>
      <c r="M50" s="16" t="s">
        <v>106</v>
      </c>
      <c r="N50" s="33">
        <v>10.43</v>
      </c>
      <c r="O50" s="194">
        <v>8.0500000000000007</v>
      </c>
      <c r="P50" s="194">
        <v>5.73</v>
      </c>
      <c r="Q50" s="194">
        <v>3.64</v>
      </c>
      <c r="R50" s="194">
        <v>4.71</v>
      </c>
      <c r="S50" s="221"/>
      <c r="T50" s="160">
        <f>'2025'!AG168/1000</f>
        <v>0.125</v>
      </c>
      <c r="U50" s="76"/>
      <c r="V50" s="77"/>
      <c r="W50" s="77"/>
      <c r="X50" s="77"/>
      <c r="Y50" s="77"/>
      <c r="Z50" s="77"/>
      <c r="AA50" s="78"/>
      <c r="AB50" s="76"/>
      <c r="AC50" s="194">
        <v>82.116</v>
      </c>
      <c r="AD50" s="194">
        <v>57.6</v>
      </c>
      <c r="AE50" s="194">
        <v>106.596</v>
      </c>
      <c r="AF50" s="194">
        <v>99.898499999999999</v>
      </c>
      <c r="AG50" s="251"/>
      <c r="AH50" s="244">
        <f>'2025'!AG161/3.6</f>
        <v>0</v>
      </c>
      <c r="AI50" s="95"/>
      <c r="AJ50" s="77"/>
      <c r="AK50" s="77"/>
      <c r="AL50" s="77"/>
      <c r="AM50" s="77"/>
      <c r="AN50" s="77"/>
      <c r="AO50" s="78"/>
      <c r="AP50" s="76"/>
      <c r="AQ50" s="254"/>
      <c r="AR50" s="254"/>
      <c r="AS50" s="254"/>
      <c r="AT50" s="254"/>
      <c r="AU50" s="254"/>
      <c r="AV50" s="162">
        <f>'2025'!AG169</f>
        <v>142.267</v>
      </c>
    </row>
    <row r="51" spans="1:48" s="5" customFormat="1" ht="14.65" customHeight="1" x14ac:dyDescent="0.25">
      <c r="A51" s="192" t="s">
        <v>281</v>
      </c>
      <c r="B51" s="284"/>
      <c r="C51" s="9" t="s">
        <v>212</v>
      </c>
      <c r="D51" s="10" t="s">
        <v>248</v>
      </c>
      <c r="E51" s="11" t="s">
        <v>72</v>
      </c>
      <c r="F51" s="11" t="s">
        <v>717</v>
      </c>
      <c r="G51" s="12" t="s">
        <v>39</v>
      </c>
      <c r="H51" s="8">
        <v>1</v>
      </c>
      <c r="I51" s="14">
        <v>1238.5999999999999</v>
      </c>
      <c r="J51" s="14" t="s">
        <v>304</v>
      </c>
      <c r="K51" s="12" t="s">
        <v>158</v>
      </c>
      <c r="L51" s="12" t="s">
        <v>133</v>
      </c>
      <c r="M51" s="16" t="s">
        <v>111</v>
      </c>
      <c r="N51" s="33">
        <v>59.94</v>
      </c>
      <c r="O51" s="194">
        <v>30.29</v>
      </c>
      <c r="P51" s="194">
        <v>25.064</v>
      </c>
      <c r="Q51" s="194">
        <v>40.168999999999997</v>
      </c>
      <c r="R51" s="194">
        <v>28.927</v>
      </c>
      <c r="S51" s="194">
        <v>24.545999999999999</v>
      </c>
      <c r="T51" s="160">
        <f>'2025'!AG170/1000</f>
        <v>7.6719999999999997</v>
      </c>
      <c r="U51" s="33">
        <v>84.855999999999995</v>
      </c>
      <c r="V51" s="194">
        <v>89.29</v>
      </c>
      <c r="W51" s="194">
        <v>89.33</v>
      </c>
      <c r="X51" s="194">
        <v>86.75</v>
      </c>
      <c r="Y51" s="194">
        <v>91.773650000000004</v>
      </c>
      <c r="Z51" s="221">
        <v>44.061689999999999</v>
      </c>
      <c r="AA51" s="160">
        <f>'2025'!AG171/1000*$N$62</f>
        <v>43.846742421999991</v>
      </c>
      <c r="AB51" s="76"/>
      <c r="AC51" s="77"/>
      <c r="AD51" s="77"/>
      <c r="AE51" s="77"/>
      <c r="AF51" s="77"/>
      <c r="AG51" s="77"/>
      <c r="AH51" s="94"/>
      <c r="AI51" s="76"/>
      <c r="AJ51" s="77"/>
      <c r="AK51" s="77"/>
      <c r="AL51" s="77"/>
      <c r="AM51" s="77"/>
      <c r="AN51" s="77"/>
      <c r="AO51" s="78"/>
      <c r="AP51" s="76"/>
      <c r="AQ51" s="252">
        <v>2175</v>
      </c>
      <c r="AR51" s="252">
        <v>2567</v>
      </c>
      <c r="AS51" s="252">
        <v>2215</v>
      </c>
      <c r="AT51" s="252">
        <v>1653</v>
      </c>
      <c r="AU51" s="193">
        <v>212</v>
      </c>
      <c r="AV51" s="162">
        <f>'2025'!AG172-'2025'!AG173</f>
        <v>85</v>
      </c>
    </row>
    <row r="52" spans="1:48" s="5" customFormat="1" ht="14.65" customHeight="1" x14ac:dyDescent="0.25">
      <c r="A52" s="192" t="s">
        <v>282</v>
      </c>
      <c r="B52" s="284"/>
      <c r="C52" s="9" t="s">
        <v>102</v>
      </c>
      <c r="D52" s="10" t="s">
        <v>724</v>
      </c>
      <c r="E52" s="11" t="s">
        <v>72</v>
      </c>
      <c r="F52" s="11" t="s">
        <v>717</v>
      </c>
      <c r="G52" s="12" t="s">
        <v>39</v>
      </c>
      <c r="H52" s="8">
        <v>2</v>
      </c>
      <c r="I52" s="14">
        <v>5319.4</v>
      </c>
      <c r="J52" s="14" t="s">
        <v>300</v>
      </c>
      <c r="K52" s="12" t="s">
        <v>158</v>
      </c>
      <c r="L52" s="12" t="s">
        <v>134</v>
      </c>
      <c r="M52" s="16" t="s">
        <v>229</v>
      </c>
      <c r="N52" s="33">
        <v>334.44</v>
      </c>
      <c r="O52" s="194">
        <v>292.57</v>
      </c>
      <c r="P52" s="194">
        <v>319.88499999999999</v>
      </c>
      <c r="Q52" s="194">
        <v>388.1</v>
      </c>
      <c r="R52" s="194">
        <v>485.48</v>
      </c>
      <c r="S52" s="194">
        <v>496.67500000000001</v>
      </c>
      <c r="T52" s="160">
        <f>('2025'!AG175+'2025'!AG176+'2025'!AG177)/1000</f>
        <v>117.22799999999999</v>
      </c>
      <c r="U52" s="76"/>
      <c r="V52" s="77"/>
      <c r="W52" s="77"/>
      <c r="X52" s="77"/>
      <c r="Y52" s="77"/>
      <c r="Z52" s="77"/>
      <c r="AA52" s="78"/>
      <c r="AB52" s="264">
        <v>2998.361506950399</v>
      </c>
      <c r="AC52" s="258">
        <v>2496.2759999999998</v>
      </c>
      <c r="AD52" s="258">
        <v>2422.4760000000001</v>
      </c>
      <c r="AE52" s="258">
        <v>2161.8000000000002</v>
      </c>
      <c r="AF52" s="258">
        <v>2087.65</v>
      </c>
      <c r="AG52" s="258">
        <v>1991.17</v>
      </c>
      <c r="AH52" s="242">
        <f>'2025'!AG181/3.6</f>
        <v>377.43611111111107</v>
      </c>
      <c r="AI52" s="76"/>
      <c r="AJ52" s="77"/>
      <c r="AK52" s="77"/>
      <c r="AL52" s="77"/>
      <c r="AM52" s="77"/>
      <c r="AN52" s="77"/>
      <c r="AO52" s="78"/>
      <c r="AP52" s="76"/>
      <c r="AQ52" s="253"/>
      <c r="AR52" s="253"/>
      <c r="AS52" s="253"/>
      <c r="AT52" s="253"/>
      <c r="AU52" s="193">
        <v>2180</v>
      </c>
      <c r="AV52" s="162">
        <f>'2025'!AG179</f>
        <v>656</v>
      </c>
    </row>
    <row r="53" spans="1:48" s="5" customFormat="1" ht="14.65" customHeight="1" x14ac:dyDescent="0.25">
      <c r="A53" s="192" t="s">
        <v>283</v>
      </c>
      <c r="B53" s="284"/>
      <c r="C53" s="9" t="s">
        <v>153</v>
      </c>
      <c r="D53" s="10" t="s">
        <v>724</v>
      </c>
      <c r="E53" s="11" t="s">
        <v>72</v>
      </c>
      <c r="F53" s="11" t="s">
        <v>716</v>
      </c>
      <c r="G53" s="12" t="s">
        <v>45</v>
      </c>
      <c r="H53" s="8">
        <v>5</v>
      </c>
      <c r="I53" s="14">
        <v>4138.7</v>
      </c>
      <c r="J53" s="14" t="s">
        <v>301</v>
      </c>
      <c r="K53" s="12" t="s">
        <v>140</v>
      </c>
      <c r="L53" s="12" t="s">
        <v>179</v>
      </c>
      <c r="M53" s="16" t="s">
        <v>228</v>
      </c>
      <c r="N53" s="33">
        <v>165.15</v>
      </c>
      <c r="O53" s="194">
        <v>80.400000000000006</v>
      </c>
      <c r="P53" s="194">
        <v>22.698</v>
      </c>
      <c r="Q53" s="194">
        <v>22.696000000000002</v>
      </c>
      <c r="R53" s="194">
        <v>42.203000000000003</v>
      </c>
      <c r="S53" s="194">
        <v>215.517</v>
      </c>
      <c r="T53" s="160">
        <f>'2025'!AG180/1000</f>
        <v>69.143000000000001</v>
      </c>
      <c r="U53" s="76"/>
      <c r="V53" s="77"/>
      <c r="W53" s="77"/>
      <c r="X53" s="77"/>
      <c r="Y53" s="77"/>
      <c r="Z53" s="77"/>
      <c r="AA53" s="78"/>
      <c r="AB53" s="266"/>
      <c r="AC53" s="260"/>
      <c r="AD53" s="260"/>
      <c r="AE53" s="260"/>
      <c r="AF53" s="260"/>
      <c r="AG53" s="260"/>
      <c r="AH53" s="244">
        <f>'2025'!AG164/3.6</f>
        <v>91.777777777777786</v>
      </c>
      <c r="AI53" s="76"/>
      <c r="AJ53" s="77"/>
      <c r="AK53" s="77"/>
      <c r="AL53" s="77"/>
      <c r="AM53" s="77"/>
      <c r="AN53" s="77"/>
      <c r="AO53" s="78"/>
      <c r="AP53" s="76"/>
      <c r="AQ53" s="253"/>
      <c r="AR53" s="253"/>
      <c r="AS53" s="253"/>
      <c r="AT53" s="253"/>
      <c r="AU53" s="193">
        <v>3069</v>
      </c>
      <c r="AV53" s="162">
        <f>'2025'!AG182-'2025'!AG179</f>
        <v>1082</v>
      </c>
    </row>
    <row r="54" spans="1:48" s="5" customFormat="1" ht="14.65" customHeight="1" x14ac:dyDescent="0.25">
      <c r="A54" s="192" t="s">
        <v>284</v>
      </c>
      <c r="B54" s="284"/>
      <c r="C54" s="10" t="s">
        <v>87</v>
      </c>
      <c r="D54" s="10" t="s">
        <v>246</v>
      </c>
      <c r="E54" s="11" t="s">
        <v>72</v>
      </c>
      <c r="F54" s="11" t="s">
        <v>717</v>
      </c>
      <c r="G54" s="12" t="s">
        <v>216</v>
      </c>
      <c r="H54" s="8">
        <v>1</v>
      </c>
      <c r="I54" s="14">
        <v>335</v>
      </c>
      <c r="J54" s="14" t="s">
        <v>304</v>
      </c>
      <c r="K54" s="12" t="s">
        <v>159</v>
      </c>
      <c r="L54" s="12" t="s">
        <v>129</v>
      </c>
      <c r="M54" s="16" t="s">
        <v>92</v>
      </c>
      <c r="N54" s="33">
        <v>1.63</v>
      </c>
      <c r="O54" s="194">
        <v>4.17</v>
      </c>
      <c r="P54" s="194">
        <v>6.8440000000000003</v>
      </c>
      <c r="Q54" s="194">
        <v>10.629</v>
      </c>
      <c r="R54" s="194">
        <v>11.182</v>
      </c>
      <c r="S54" s="194">
        <v>10.654999999999999</v>
      </c>
      <c r="T54" s="160">
        <f>'2025'!AG183/1000</f>
        <v>3.004</v>
      </c>
      <c r="U54" s="33">
        <v>6.0612700000000004</v>
      </c>
      <c r="V54" s="194">
        <v>4.95</v>
      </c>
      <c r="W54" s="194">
        <v>19.66</v>
      </c>
      <c r="X54" s="194">
        <v>27.06</v>
      </c>
      <c r="Y54" s="194">
        <v>26.347000000000001</v>
      </c>
      <c r="Z54" s="221">
        <v>13.059990000000001</v>
      </c>
      <c r="AA54" s="160">
        <f>'2025'!AG184/1000*$N$62</f>
        <v>14.306391068999998</v>
      </c>
      <c r="AB54" s="76"/>
      <c r="AC54" s="77"/>
      <c r="AD54" s="77"/>
      <c r="AE54" s="77"/>
      <c r="AF54" s="77"/>
      <c r="AG54" s="77"/>
      <c r="AH54" s="78"/>
      <c r="AI54" s="76"/>
      <c r="AJ54" s="77"/>
      <c r="AK54" s="77"/>
      <c r="AL54" s="77"/>
      <c r="AM54" s="77"/>
      <c r="AN54" s="77"/>
      <c r="AO54" s="78"/>
      <c r="AP54" s="76"/>
      <c r="AQ54" s="254"/>
      <c r="AR54" s="254"/>
      <c r="AS54" s="254"/>
      <c r="AT54" s="254"/>
      <c r="AU54" s="193">
        <v>97</v>
      </c>
      <c r="AV54" s="210">
        <f>'2025'!AG185</f>
        <v>25</v>
      </c>
    </row>
    <row r="55" spans="1:48" s="5" customFormat="1" ht="14.65" customHeight="1" x14ac:dyDescent="0.25">
      <c r="A55" s="192" t="s">
        <v>285</v>
      </c>
      <c r="B55" s="284"/>
      <c r="C55" s="9" t="s">
        <v>213</v>
      </c>
      <c r="D55" s="10" t="s">
        <v>52</v>
      </c>
      <c r="E55" s="11" t="s">
        <v>72</v>
      </c>
      <c r="F55" s="11" t="s">
        <v>717</v>
      </c>
      <c r="G55" s="12" t="s">
        <v>39</v>
      </c>
      <c r="H55" s="8">
        <v>2</v>
      </c>
      <c r="I55" s="14">
        <v>306.3</v>
      </c>
      <c r="J55" s="14" t="s">
        <v>304</v>
      </c>
      <c r="K55" s="12" t="s">
        <v>178</v>
      </c>
      <c r="L55" s="12">
        <v>30</v>
      </c>
      <c r="M55" s="16" t="s">
        <v>112</v>
      </c>
      <c r="N55" s="33">
        <v>7.59</v>
      </c>
      <c r="O55" s="194">
        <v>4.7300000000000004</v>
      </c>
      <c r="P55" s="194">
        <v>6.12</v>
      </c>
      <c r="Q55" s="194">
        <v>11.34</v>
      </c>
      <c r="R55" s="194">
        <v>7.8860000000000001</v>
      </c>
      <c r="S55" s="194">
        <v>9.3849999999999998</v>
      </c>
      <c r="T55" s="160">
        <f>('2025'!AG186+'2025'!AG187-'2025'!AG188)/1000</f>
        <v>1.3120000000000001</v>
      </c>
      <c r="U55" s="33">
        <v>23.142420000000001</v>
      </c>
      <c r="V55" s="194">
        <v>20.88</v>
      </c>
      <c r="W55" s="194">
        <v>24.69</v>
      </c>
      <c r="X55" s="194">
        <v>48.56</v>
      </c>
      <c r="Y55" s="194">
        <v>42.618900000000004</v>
      </c>
      <c r="Z55" s="221">
        <v>13.27594</v>
      </c>
      <c r="AA55" s="160">
        <f>('2025'!AG189+'2025'!AG190)/1000*$N$62</f>
        <v>10.585201629999998</v>
      </c>
      <c r="AB55" s="76"/>
      <c r="AC55" s="77"/>
      <c r="AD55" s="77"/>
      <c r="AE55" s="77"/>
      <c r="AF55" s="77"/>
      <c r="AG55" s="77"/>
      <c r="AH55" s="78"/>
      <c r="AI55" s="76"/>
      <c r="AJ55" s="77"/>
      <c r="AK55" s="77"/>
      <c r="AL55" s="77"/>
      <c r="AM55" s="77"/>
      <c r="AN55" s="77"/>
      <c r="AO55" s="78"/>
      <c r="AP55" s="33">
        <v>234.642</v>
      </c>
      <c r="AQ55" s="193">
        <v>140.148</v>
      </c>
      <c r="AR55" s="193">
        <v>135</v>
      </c>
      <c r="AS55" s="193">
        <v>633.26499999999999</v>
      </c>
      <c r="AT55" s="193">
        <v>398.72199999999998</v>
      </c>
      <c r="AU55" s="193">
        <v>242</v>
      </c>
      <c r="AV55" s="162">
        <f>'2025'!AG191-'2025'!AG192-'2025'!AG193</f>
        <v>13</v>
      </c>
    </row>
    <row r="56" spans="1:48" s="5" customFormat="1" ht="14.65" customHeight="1" x14ac:dyDescent="0.25">
      <c r="A56" s="192" t="s">
        <v>286</v>
      </c>
      <c r="B56" s="284"/>
      <c r="C56" s="9" t="s">
        <v>53</v>
      </c>
      <c r="D56" s="10" t="s">
        <v>247</v>
      </c>
      <c r="E56" s="11" t="s">
        <v>72</v>
      </c>
      <c r="F56" s="11" t="s">
        <v>717</v>
      </c>
      <c r="G56" s="12" t="s">
        <v>39</v>
      </c>
      <c r="H56" s="8">
        <v>1</v>
      </c>
      <c r="I56" s="14">
        <v>162.69999999999999</v>
      </c>
      <c r="J56" s="14" t="s">
        <v>305</v>
      </c>
      <c r="K56" s="12" t="s">
        <v>157</v>
      </c>
      <c r="L56" s="12" t="s">
        <v>135</v>
      </c>
      <c r="M56" s="16" t="s">
        <v>292</v>
      </c>
      <c r="N56" s="33">
        <v>37.36</v>
      </c>
      <c r="O56" s="194">
        <v>49.72</v>
      </c>
      <c r="P56" s="194">
        <v>36.536999999999999</v>
      </c>
      <c r="Q56" s="194">
        <v>48.713999999999999</v>
      </c>
      <c r="R56" s="194">
        <v>65.683999999999997</v>
      </c>
      <c r="S56" s="194">
        <v>62.76</v>
      </c>
      <c r="T56" s="160">
        <f>('2025'!AG194+'2025'!AG195)/1000</f>
        <v>1.093</v>
      </c>
      <c r="U56" s="76"/>
      <c r="V56" s="77"/>
      <c r="W56" s="77"/>
      <c r="X56" s="77"/>
      <c r="Y56" s="77"/>
      <c r="Z56" s="77"/>
      <c r="AA56" s="78"/>
      <c r="AB56" s="76"/>
      <c r="AC56" s="77"/>
      <c r="AD56" s="77"/>
      <c r="AE56" s="77"/>
      <c r="AF56" s="77"/>
      <c r="AG56" s="77"/>
      <c r="AH56" s="78"/>
      <c r="AI56" s="76"/>
      <c r="AJ56" s="77"/>
      <c r="AK56" s="77"/>
      <c r="AL56" s="77"/>
      <c r="AM56" s="77"/>
      <c r="AN56" s="77"/>
      <c r="AO56" s="78"/>
      <c r="AP56" s="76"/>
      <c r="AQ56" s="193">
        <v>1245</v>
      </c>
      <c r="AR56" s="193">
        <v>536</v>
      </c>
      <c r="AS56" s="193">
        <v>1986</v>
      </c>
      <c r="AT56" s="193">
        <v>2267</v>
      </c>
      <c r="AU56" s="193">
        <v>1330</v>
      </c>
      <c r="AV56" s="162">
        <f>'2025'!AG196+'2025'!AG197</f>
        <v>0</v>
      </c>
    </row>
    <row r="57" spans="1:48" s="5" customFormat="1" ht="14.65" customHeight="1" x14ac:dyDescent="0.2">
      <c r="A57" s="192" t="s">
        <v>287</v>
      </c>
      <c r="B57" s="284"/>
      <c r="C57" s="9" t="s">
        <v>298</v>
      </c>
      <c r="D57" s="10" t="s">
        <v>55</v>
      </c>
      <c r="E57" s="11" t="s">
        <v>72</v>
      </c>
      <c r="F57" s="11" t="s">
        <v>718</v>
      </c>
      <c r="G57" s="12" t="s">
        <v>215</v>
      </c>
      <c r="H57" s="8">
        <v>1</v>
      </c>
      <c r="I57" s="15" t="s">
        <v>115</v>
      </c>
      <c r="J57" s="15" t="s">
        <v>303</v>
      </c>
      <c r="K57" s="12" t="s">
        <v>141</v>
      </c>
      <c r="L57" s="12">
        <v>3</v>
      </c>
      <c r="M57" s="16" t="s">
        <v>94</v>
      </c>
      <c r="N57" s="33">
        <v>0.30399999999999999</v>
      </c>
      <c r="O57" s="194">
        <v>5.69</v>
      </c>
      <c r="P57" s="194">
        <v>4.45</v>
      </c>
      <c r="Q57" s="194">
        <v>5.56</v>
      </c>
      <c r="R57" s="194">
        <v>4.3659999999999997</v>
      </c>
      <c r="S57" s="194">
        <v>6.7619999999999996</v>
      </c>
      <c r="T57" s="160">
        <f>('2025'!AG198+'2025'!AG199)/1000</f>
        <v>3.3519999999999999</v>
      </c>
      <c r="U57" s="33">
        <v>12.07877</v>
      </c>
      <c r="V57" s="194">
        <v>12.25</v>
      </c>
      <c r="W57" s="194">
        <v>10.96</v>
      </c>
      <c r="X57" s="194">
        <v>8.4</v>
      </c>
      <c r="Y57" s="194">
        <v>8.2394600000000011</v>
      </c>
      <c r="Z57" s="221">
        <v>3.3668399999999998</v>
      </c>
      <c r="AA57" s="160">
        <f>'2025'!AG200/1000*$N$62</f>
        <v>4.7573388150500087</v>
      </c>
      <c r="AB57" s="76"/>
      <c r="AC57" s="77"/>
      <c r="AD57" s="77"/>
      <c r="AE57" s="77"/>
      <c r="AF57" s="77"/>
      <c r="AG57" s="77"/>
      <c r="AH57" s="78"/>
      <c r="AI57" s="76"/>
      <c r="AJ57" s="77"/>
      <c r="AK57" s="77"/>
      <c r="AL57" s="77"/>
      <c r="AM57" s="77"/>
      <c r="AN57" s="77"/>
      <c r="AO57" s="78"/>
      <c r="AP57" s="76"/>
      <c r="AQ57" s="193">
        <v>338</v>
      </c>
      <c r="AR57" s="193">
        <v>216</v>
      </c>
      <c r="AS57" s="193">
        <v>228.48</v>
      </c>
      <c r="AT57" s="193">
        <v>159</v>
      </c>
      <c r="AU57" s="193">
        <v>183.5</v>
      </c>
      <c r="AV57" s="162">
        <f>'2025'!AG201</f>
        <v>68.220000000000027</v>
      </c>
    </row>
    <row r="58" spans="1:48" s="5" customFormat="1" ht="14.65" customHeight="1" thickBot="1" x14ac:dyDescent="0.3">
      <c r="A58" s="6" t="s">
        <v>288</v>
      </c>
      <c r="B58" s="286"/>
      <c r="C58" s="24" t="s">
        <v>32</v>
      </c>
      <c r="D58" s="191" t="s">
        <v>241</v>
      </c>
      <c r="E58" s="25" t="s">
        <v>72</v>
      </c>
      <c r="F58" s="11" t="s">
        <v>715</v>
      </c>
      <c r="G58" s="26" t="s">
        <v>50</v>
      </c>
      <c r="H58" s="185">
        <v>1</v>
      </c>
      <c r="I58" s="190">
        <v>63.1</v>
      </c>
      <c r="J58" s="190" t="s">
        <v>302</v>
      </c>
      <c r="K58" s="26" t="s">
        <v>173</v>
      </c>
      <c r="L58" s="26" t="s">
        <v>137</v>
      </c>
      <c r="M58" s="27" t="s">
        <v>227</v>
      </c>
      <c r="N58" s="188">
        <v>6.1139999999999999</v>
      </c>
      <c r="O58" s="187">
        <v>4.68</v>
      </c>
      <c r="P58" s="187">
        <v>6.01</v>
      </c>
      <c r="Q58" s="187">
        <v>10.28</v>
      </c>
      <c r="R58" s="187">
        <v>7.609</v>
      </c>
      <c r="S58" s="187">
        <v>4.3369999999999997</v>
      </c>
      <c r="T58" s="160">
        <f>('2025'!AG202+'2025'!AG203)/1000</f>
        <v>4.4320000000000004</v>
      </c>
      <c r="U58" s="196"/>
      <c r="V58" s="92"/>
      <c r="W58" s="92"/>
      <c r="X58" s="92"/>
      <c r="Y58" s="92"/>
      <c r="Z58" s="92"/>
      <c r="AA58" s="93"/>
      <c r="AB58" s="196"/>
      <c r="AC58" s="92"/>
      <c r="AD58" s="92"/>
      <c r="AE58" s="92"/>
      <c r="AF58" s="92"/>
      <c r="AG58" s="92"/>
      <c r="AH58" s="93"/>
      <c r="AI58" s="196"/>
      <c r="AJ58" s="92"/>
      <c r="AK58" s="92"/>
      <c r="AL58" s="92"/>
      <c r="AM58" s="92"/>
      <c r="AN58" s="92"/>
      <c r="AO58" s="93"/>
      <c r="AP58" s="196"/>
      <c r="AQ58" s="101"/>
      <c r="AR58" s="101"/>
      <c r="AS58" s="101"/>
      <c r="AT58" s="101"/>
      <c r="AU58" s="101"/>
      <c r="AV58" s="162">
        <f>'2025'!AG204</f>
        <v>45.679000000000002</v>
      </c>
    </row>
    <row r="59" spans="1:48" s="23" customFormat="1" ht="15" customHeight="1" thickBot="1" x14ac:dyDescent="0.3">
      <c r="A59" s="270" t="s">
        <v>309</v>
      </c>
      <c r="B59" s="271"/>
      <c r="C59" s="271"/>
      <c r="D59" s="271"/>
      <c r="E59" s="271"/>
      <c r="F59" s="271"/>
      <c r="G59" s="271"/>
      <c r="H59" s="271"/>
      <c r="I59" s="271"/>
      <c r="J59" s="271"/>
      <c r="K59" s="271"/>
      <c r="L59" s="271"/>
      <c r="M59" s="272"/>
      <c r="N59" s="28">
        <f t="shared" ref="N59:AU59" si="0">SUM(N3:N58)</f>
        <v>2296.1067000000003</v>
      </c>
      <c r="O59" s="28">
        <f t="shared" si="0"/>
        <v>2104.251999999999</v>
      </c>
      <c r="P59" s="28">
        <f t="shared" si="0"/>
        <v>1986.6390000000008</v>
      </c>
      <c r="Q59" s="28">
        <f t="shared" si="0"/>
        <v>2081.2400000000002</v>
      </c>
      <c r="R59" s="28">
        <f t="shared" si="0"/>
        <v>2191.0115700000001</v>
      </c>
      <c r="S59" s="28">
        <f t="shared" si="0"/>
        <v>2169.065000000001</v>
      </c>
      <c r="T59" s="28">
        <f t="shared" si="0"/>
        <v>1036.7332140000003</v>
      </c>
      <c r="U59" s="28">
        <f t="shared" si="0"/>
        <v>438.05197900000002</v>
      </c>
      <c r="V59" s="28">
        <f t="shared" si="0"/>
        <v>435.07608000000005</v>
      </c>
      <c r="W59" s="28">
        <f t="shared" si="0"/>
        <v>483.55360000000002</v>
      </c>
      <c r="X59" s="28">
        <f t="shared" si="0"/>
        <v>469.24001999999996</v>
      </c>
      <c r="Y59" s="28">
        <f t="shared" si="0"/>
        <v>448.42827999999992</v>
      </c>
      <c r="Z59" s="28">
        <f t="shared" si="0"/>
        <v>320.89546999999999</v>
      </c>
      <c r="AA59" s="35">
        <f t="shared" si="0"/>
        <v>287.47816316553849</v>
      </c>
      <c r="AB59" s="28">
        <f t="shared" si="0"/>
        <v>18045.778059666864</v>
      </c>
      <c r="AC59" s="28">
        <f t="shared" si="0"/>
        <v>16306.878999999999</v>
      </c>
      <c r="AD59" s="28">
        <f t="shared" si="0"/>
        <v>19583.667999999994</v>
      </c>
      <c r="AE59" s="28">
        <f t="shared" si="0"/>
        <v>17572.436000000002</v>
      </c>
      <c r="AF59" s="28">
        <f t="shared" si="0"/>
        <v>15737.125000000002</v>
      </c>
      <c r="AG59" s="28">
        <f t="shared" si="0"/>
        <v>14983.076999999999</v>
      </c>
      <c r="AH59" s="28">
        <f t="shared" si="0"/>
        <v>26029.713888888888</v>
      </c>
      <c r="AI59" s="28">
        <f t="shared" si="0"/>
        <v>407.83109999999999</v>
      </c>
      <c r="AJ59" s="28">
        <f t="shared" si="0"/>
        <v>393.16</v>
      </c>
      <c r="AK59" s="28">
        <f t="shared" si="0"/>
        <v>396.64</v>
      </c>
      <c r="AL59" s="28">
        <f t="shared" si="0"/>
        <v>192.52</v>
      </c>
      <c r="AM59" s="28">
        <f t="shared" si="0"/>
        <v>211.73779999999999</v>
      </c>
      <c r="AN59" s="28">
        <f t="shared" si="0"/>
        <v>178.65600000000001</v>
      </c>
      <c r="AO59" s="28">
        <f t="shared" si="0"/>
        <v>33.119999999999997</v>
      </c>
      <c r="AP59" s="28">
        <f t="shared" si="0"/>
        <v>234.642</v>
      </c>
      <c r="AQ59" s="102">
        <f t="shared" si="0"/>
        <v>25677.601000000002</v>
      </c>
      <c r="AR59" s="102">
        <f t="shared" si="0"/>
        <v>25805</v>
      </c>
      <c r="AS59" s="102">
        <f t="shared" si="0"/>
        <v>25088.261999999999</v>
      </c>
      <c r="AT59" s="102">
        <f t="shared" si="0"/>
        <v>24744.806</v>
      </c>
      <c r="AU59" s="102">
        <f t="shared" si="0"/>
        <v>27886.089</v>
      </c>
      <c r="AV59" s="102">
        <f t="shared" ref="AV59" si="1">SUM(AV3:AV58)</f>
        <v>13074.387000000006</v>
      </c>
    </row>
    <row r="62" spans="1:48" ht="15" hidden="1" customHeight="1" x14ac:dyDescent="0.25">
      <c r="C62" s="153" t="s">
        <v>667</v>
      </c>
      <c r="D62" s="154"/>
      <c r="E62" s="154"/>
      <c r="F62" s="154"/>
      <c r="G62" s="154"/>
      <c r="H62" s="153"/>
      <c r="I62" s="155"/>
      <c r="J62" s="155"/>
      <c r="K62" s="154"/>
      <c r="L62" s="213"/>
      <c r="M62" s="153"/>
      <c r="N62" s="155">
        <v>10.912578999999999</v>
      </c>
      <c r="R62" s="1"/>
      <c r="S62" s="1"/>
      <c r="T62" s="1"/>
      <c r="U62" s="204"/>
      <c r="V62" s="204"/>
      <c r="AA62" s="3"/>
      <c r="AQ62" s="1"/>
      <c r="AR62" s="1"/>
      <c r="AS62" s="1"/>
      <c r="AT62" s="1"/>
      <c r="AV62" s="1"/>
    </row>
    <row r="63" spans="1:48" hidden="1" x14ac:dyDescent="0.25">
      <c r="C63" s="153" t="s">
        <v>670</v>
      </c>
      <c r="D63" s="205"/>
      <c r="E63" s="205"/>
      <c r="F63" s="154" t="s">
        <v>712</v>
      </c>
      <c r="N63" s="155">
        <v>3.6</v>
      </c>
      <c r="U63" s="36"/>
      <c r="AA63" s="3"/>
      <c r="AQ63" s="1"/>
      <c r="AR63" s="1"/>
      <c r="AS63" s="1"/>
      <c r="AT63" s="1"/>
      <c r="AV63" s="1"/>
    </row>
    <row r="64" spans="1:48" hidden="1" x14ac:dyDescent="0.25">
      <c r="C64" s="153" t="s">
        <v>698</v>
      </c>
      <c r="D64" s="205"/>
      <c r="E64" s="205"/>
      <c r="F64" s="205"/>
      <c r="G64" s="205"/>
      <c r="H64" s="206"/>
      <c r="I64" s="207"/>
      <c r="J64" s="207"/>
      <c r="K64" s="205"/>
      <c r="L64" s="208"/>
      <c r="M64" s="206"/>
      <c r="N64" s="155">
        <v>4.8879999999999999</v>
      </c>
      <c r="U64" s="36"/>
      <c r="AA64" s="3"/>
      <c r="AQ64" s="1"/>
      <c r="AR64" s="1"/>
      <c r="AS64" s="1"/>
      <c r="AT64" s="166"/>
      <c r="AV64" s="1"/>
    </row>
    <row r="65" spans="20:48" x14ac:dyDescent="0.25">
      <c r="AA65" s="3"/>
      <c r="AJ65" s="1"/>
      <c r="AK65" s="1"/>
      <c r="AL65" s="1"/>
      <c r="AM65" s="166"/>
      <c r="AO65" s="1"/>
      <c r="AP65" s="1"/>
      <c r="AQ65" s="1"/>
      <c r="AR65" s="1"/>
      <c r="AS65" s="1"/>
      <c r="AT65" s="1"/>
      <c r="AU65" s="1"/>
      <c r="AV65" s="1"/>
    </row>
    <row r="66" spans="20:48" x14ac:dyDescent="0.25">
      <c r="AA66" s="3"/>
      <c r="AJ66" s="1"/>
      <c r="AK66" s="1"/>
      <c r="AL66" s="1"/>
      <c r="AM66" s="167"/>
      <c r="AO66" s="1"/>
      <c r="AP66" s="1"/>
      <c r="AQ66" s="1"/>
      <c r="AR66" s="1"/>
      <c r="AS66" s="1"/>
      <c r="AT66" s="1"/>
      <c r="AU66" s="1"/>
      <c r="AV66" s="1"/>
    </row>
    <row r="67" spans="20:48" x14ac:dyDescent="0.25">
      <c r="AA67" s="3"/>
      <c r="AJ67" s="1"/>
      <c r="AK67" s="1"/>
      <c r="AL67" s="1"/>
      <c r="AM67" s="167"/>
      <c r="AO67" s="1"/>
      <c r="AP67" s="1"/>
      <c r="AQ67" s="1"/>
      <c r="AR67" s="1"/>
      <c r="AS67" s="1"/>
      <c r="AT67" s="1"/>
      <c r="AU67" s="1"/>
      <c r="AV67" s="1"/>
    </row>
    <row r="68" spans="20:48" x14ac:dyDescent="0.25">
      <c r="AA68" s="3"/>
      <c r="AJ68" s="1"/>
      <c r="AK68" s="1"/>
      <c r="AL68" s="1"/>
      <c r="AM68" s="167"/>
      <c r="AO68" s="1"/>
      <c r="AP68" s="1"/>
      <c r="AQ68" s="1"/>
      <c r="AR68" s="1"/>
      <c r="AS68" s="1"/>
      <c r="AT68" s="1"/>
      <c r="AU68" s="1"/>
      <c r="AV68" s="1"/>
    </row>
    <row r="69" spans="20:48" x14ac:dyDescent="0.25">
      <c r="AA69" s="3"/>
      <c r="AJ69" s="1"/>
      <c r="AK69" s="1"/>
      <c r="AL69" s="1"/>
      <c r="AM69" s="167"/>
      <c r="AO69" s="1"/>
      <c r="AP69" s="1"/>
      <c r="AQ69" s="1"/>
      <c r="AR69" s="1"/>
      <c r="AS69" s="1"/>
      <c r="AT69" s="1"/>
      <c r="AU69" s="1"/>
      <c r="AV69" s="1"/>
    </row>
    <row r="70" spans="20:48" x14ac:dyDescent="0.25">
      <c r="T70" s="36"/>
      <c r="AA70" s="3"/>
      <c r="AM70" s="168"/>
      <c r="AP70" s="1"/>
      <c r="AQ70" s="1"/>
      <c r="AR70" s="1"/>
      <c r="AS70" s="1"/>
      <c r="AT70" s="1"/>
      <c r="AU70" s="1"/>
      <c r="AV70" s="1"/>
    </row>
    <row r="71" spans="20:48" x14ac:dyDescent="0.25">
      <c r="T71" s="36"/>
      <c r="AA71" s="3"/>
      <c r="AM71" s="169"/>
      <c r="AP71" s="1"/>
      <c r="AQ71" s="1"/>
      <c r="AR71" s="1"/>
      <c r="AS71" s="1"/>
      <c r="AT71" s="1"/>
      <c r="AU71" s="1"/>
      <c r="AV71" s="1"/>
    </row>
    <row r="72" spans="20:48" x14ac:dyDescent="0.25">
      <c r="T72" s="36"/>
      <c r="AA72" s="3"/>
      <c r="AM72" s="168"/>
      <c r="AP72" s="1"/>
      <c r="AQ72" s="1"/>
      <c r="AR72" s="1"/>
      <c r="AS72" s="1"/>
      <c r="AT72" s="1"/>
      <c r="AU72" s="1"/>
      <c r="AV72" s="1"/>
    </row>
    <row r="73" spans="20:48" x14ac:dyDescent="0.25">
      <c r="T73" s="36"/>
      <c r="AA73" s="3"/>
      <c r="AM73" s="169"/>
      <c r="AP73" s="1"/>
      <c r="AQ73" s="1"/>
      <c r="AR73" s="1"/>
      <c r="AS73" s="1"/>
      <c r="AT73" s="1"/>
      <c r="AU73" s="1"/>
      <c r="AV73" s="1"/>
    </row>
    <row r="74" spans="20:48" x14ac:dyDescent="0.25">
      <c r="T74" s="36"/>
      <c r="AA74" s="3"/>
      <c r="AM74" s="169"/>
      <c r="AP74" s="1"/>
      <c r="AQ74" s="1"/>
      <c r="AR74" s="1"/>
      <c r="AS74" s="1"/>
      <c r="AT74" s="1"/>
      <c r="AU74" s="1"/>
      <c r="AV74" s="1"/>
    </row>
    <row r="75" spans="20:48" x14ac:dyDescent="0.25">
      <c r="T75" s="36"/>
      <c r="AA75" s="3"/>
      <c r="AP75" s="1"/>
      <c r="AQ75" s="1"/>
      <c r="AR75" s="1"/>
      <c r="AS75" s="1"/>
      <c r="AT75" s="1"/>
      <c r="AU75" s="1"/>
      <c r="AV75" s="1"/>
    </row>
    <row r="76" spans="20:48" x14ac:dyDescent="0.25">
      <c r="T76" s="36"/>
      <c r="AA76" s="3"/>
      <c r="AP76" s="1"/>
      <c r="AQ76" s="1"/>
      <c r="AR76" s="1"/>
      <c r="AS76" s="1"/>
      <c r="AT76" s="1"/>
      <c r="AU76" s="1"/>
      <c r="AV76" s="1"/>
    </row>
    <row r="77" spans="20:48" x14ac:dyDescent="0.25">
      <c r="T77" s="36"/>
      <c r="AA77" s="3"/>
      <c r="AP77" s="1"/>
      <c r="AQ77" s="1"/>
      <c r="AR77" s="1"/>
      <c r="AS77" s="1"/>
      <c r="AT77" s="1"/>
      <c r="AU77" s="1"/>
      <c r="AV77" s="1"/>
    </row>
    <row r="78" spans="20:48" x14ac:dyDescent="0.25">
      <c r="T78" s="36"/>
      <c r="AA78" s="3"/>
      <c r="AP78" s="1"/>
      <c r="AQ78" s="1"/>
      <c r="AR78" s="1"/>
      <c r="AS78" s="1"/>
      <c r="AT78" s="1"/>
      <c r="AU78" s="1"/>
      <c r="AV78" s="1"/>
    </row>
    <row r="79" spans="20:48" x14ac:dyDescent="0.25">
      <c r="T79" s="36"/>
      <c r="AA79" s="3"/>
      <c r="AP79" s="1"/>
      <c r="AQ79" s="1"/>
      <c r="AR79" s="1"/>
      <c r="AS79" s="1"/>
      <c r="AT79" s="1"/>
      <c r="AU79" s="1"/>
      <c r="AV79" s="1"/>
    </row>
    <row r="80" spans="20:48" x14ac:dyDescent="0.25">
      <c r="T80" s="36"/>
      <c r="AA80" s="3"/>
      <c r="AP80" s="1"/>
      <c r="AQ80" s="1"/>
      <c r="AR80" s="1"/>
      <c r="AS80" s="1"/>
      <c r="AT80" s="1"/>
      <c r="AU80" s="1"/>
      <c r="AV80" s="1"/>
    </row>
    <row r="81" spans="20:48" x14ac:dyDescent="0.25">
      <c r="T81" s="36"/>
      <c r="AA81" s="3"/>
      <c r="AP81" s="1"/>
      <c r="AQ81" s="1"/>
      <c r="AR81" s="1"/>
      <c r="AS81" s="1"/>
      <c r="AT81" s="1"/>
      <c r="AU81" s="1"/>
      <c r="AV81" s="1"/>
    </row>
    <row r="82" spans="20:48" x14ac:dyDescent="0.25">
      <c r="T82" s="36"/>
      <c r="AA82" s="3"/>
      <c r="AP82" s="1"/>
      <c r="AQ82" s="1"/>
      <c r="AR82" s="1"/>
      <c r="AS82" s="1"/>
      <c r="AT82" s="1"/>
      <c r="AU82" s="1"/>
      <c r="AV82" s="1"/>
    </row>
    <row r="83" spans="20:48" x14ac:dyDescent="0.25">
      <c r="T83" s="36"/>
      <c r="AA83" s="3"/>
      <c r="AP83" s="1"/>
      <c r="AQ83" s="1"/>
      <c r="AR83" s="1"/>
      <c r="AS83" s="1"/>
      <c r="AT83" s="1"/>
      <c r="AU83" s="1"/>
      <c r="AV83" s="1"/>
    </row>
    <row r="84" spans="20:48" x14ac:dyDescent="0.25">
      <c r="T84" s="36"/>
      <c r="AA84" s="3"/>
      <c r="AP84" s="1"/>
      <c r="AQ84" s="1"/>
      <c r="AR84" s="1"/>
      <c r="AS84" s="1"/>
      <c r="AT84" s="1"/>
      <c r="AU84" s="1"/>
      <c r="AV84" s="1"/>
    </row>
  </sheetData>
  <mergeCells count="122">
    <mergeCell ref="A1:A2"/>
    <mergeCell ref="B1:B2"/>
    <mergeCell ref="C1:C2"/>
    <mergeCell ref="D1:D2"/>
    <mergeCell ref="E1:E2"/>
    <mergeCell ref="G1:G2"/>
    <mergeCell ref="H1:H2"/>
    <mergeCell ref="I1:I2"/>
    <mergeCell ref="AB1:AH1"/>
    <mergeCell ref="AI1:AO1"/>
    <mergeCell ref="AP1:AV1"/>
    <mergeCell ref="N3:N5"/>
    <mergeCell ref="O3:O5"/>
    <mergeCell ref="P3:P5"/>
    <mergeCell ref="Q3:Q5"/>
    <mergeCell ref="R3:R5"/>
    <mergeCell ref="S3:S5"/>
    <mergeCell ref="T3:T5"/>
    <mergeCell ref="N1:T1"/>
    <mergeCell ref="AB3:AB5"/>
    <mergeCell ref="AC3:AC5"/>
    <mergeCell ref="AD3:AD5"/>
    <mergeCell ref="AE3:AE5"/>
    <mergeCell ref="AF3:AF5"/>
    <mergeCell ref="AG3:AG5"/>
    <mergeCell ref="AH3:AH5"/>
    <mergeCell ref="U1:AA1"/>
    <mergeCell ref="N41:N49"/>
    <mergeCell ref="O41:O49"/>
    <mergeCell ref="P41:P49"/>
    <mergeCell ref="Q41:Q49"/>
    <mergeCell ref="R41:R49"/>
    <mergeCell ref="M17:M19"/>
    <mergeCell ref="N17:N19"/>
    <mergeCell ref="K1:K2"/>
    <mergeCell ref="F1:F2"/>
    <mergeCell ref="L1:L2"/>
    <mergeCell ref="M1:M2"/>
    <mergeCell ref="J1:J2"/>
    <mergeCell ref="I17:I19"/>
    <mergeCell ref="M3:M5"/>
    <mergeCell ref="A17:A19"/>
    <mergeCell ref="P36:P38"/>
    <mergeCell ref="Q36:Q38"/>
    <mergeCell ref="R36:R38"/>
    <mergeCell ref="B17:B20"/>
    <mergeCell ref="O17:O19"/>
    <mergeCell ref="P17:P19"/>
    <mergeCell ref="Q17:Q19"/>
    <mergeCell ref="R17:R19"/>
    <mergeCell ref="AT36:AT38"/>
    <mergeCell ref="AR36:AR38"/>
    <mergeCell ref="A59:M59"/>
    <mergeCell ref="I3:I4"/>
    <mergeCell ref="M41:M45"/>
    <mergeCell ref="A41:A49"/>
    <mergeCell ref="I41:I49"/>
    <mergeCell ref="B36:B38"/>
    <mergeCell ref="B39:B58"/>
    <mergeCell ref="N36:N38"/>
    <mergeCell ref="O36:O38"/>
    <mergeCell ref="F17:F19"/>
    <mergeCell ref="F3:F5"/>
    <mergeCell ref="F36:F38"/>
    <mergeCell ref="E17:E19"/>
    <mergeCell ref="E3:E5"/>
    <mergeCell ref="E36:E38"/>
    <mergeCell ref="F41:F49"/>
    <mergeCell ref="B3:B16"/>
    <mergeCell ref="A3:A5"/>
    <mergeCell ref="B31:B32"/>
    <mergeCell ref="B33:B35"/>
    <mergeCell ref="K3:K5"/>
    <mergeCell ref="B26:B27"/>
    <mergeCell ref="AQ17:AQ19"/>
    <mergeCell ref="AR17:AR19"/>
    <mergeCell ref="S41:S49"/>
    <mergeCell ref="AQ51:AQ54"/>
    <mergeCell ref="AR51:AR54"/>
    <mergeCell ref="AS51:AS54"/>
    <mergeCell ref="AT51:AT54"/>
    <mergeCell ref="AQ41:AQ50"/>
    <mergeCell ref="AR41:AR50"/>
    <mergeCell ref="AS41:AS50"/>
    <mergeCell ref="AT41:AT50"/>
    <mergeCell ref="AB41:AB49"/>
    <mergeCell ref="AC41:AC49"/>
    <mergeCell ref="AG52:AG53"/>
    <mergeCell ref="AH52:AH53"/>
    <mergeCell ref="AB52:AB53"/>
    <mergeCell ref="AC52:AC53"/>
    <mergeCell ref="AD52:AD53"/>
    <mergeCell ref="AE52:AE53"/>
    <mergeCell ref="AF52:AF53"/>
    <mergeCell ref="S36:S38"/>
    <mergeCell ref="T36:T38"/>
    <mergeCell ref="AP17:AP19"/>
    <mergeCell ref="AS36:AS38"/>
    <mergeCell ref="AS17:AS19"/>
    <mergeCell ref="AT17:AT19"/>
    <mergeCell ref="AB17:AB19"/>
    <mergeCell ref="S17:S19"/>
    <mergeCell ref="T17:T19"/>
    <mergeCell ref="AC17:AC19"/>
    <mergeCell ref="AD17:AD19"/>
    <mergeCell ref="AV41:AV45"/>
    <mergeCell ref="AV47:AV49"/>
    <mergeCell ref="T41:T48"/>
    <mergeCell ref="AU18:AU19"/>
    <mergeCell ref="AV18:AV19"/>
    <mergeCell ref="AG47:AG50"/>
    <mergeCell ref="AH47:AH50"/>
    <mergeCell ref="AG41:AG45"/>
    <mergeCell ref="AH41:AH45"/>
    <mergeCell ref="AU36:AU38"/>
    <mergeCell ref="AV36:AV38"/>
    <mergeCell ref="AD41:AD49"/>
    <mergeCell ref="AE41:AE49"/>
    <mergeCell ref="AF41:AF49"/>
    <mergeCell ref="AP36:AP38"/>
    <mergeCell ref="AQ36:AQ38"/>
    <mergeCell ref="AU41:AU50"/>
  </mergeCells>
  <pageMargins left="0.7" right="0.7" top="0.78740157499999996" bottom="0.78740157499999996" header="0.3" footer="0.3"/>
  <pageSetup paperSize="9" scale="38" orientation="landscape" r:id="rId1"/>
  <ignoredErrors>
    <ignoredError sqref="H22" twoDigitTextYear="1"/>
    <ignoredError sqref="N59 O59:T59 U59:AV59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CDB58-F4D8-40AB-BA15-242CA19841EA}">
  <sheetPr>
    <pageSetUpPr fitToPage="1"/>
  </sheetPr>
  <dimension ref="A1:AI205"/>
  <sheetViews>
    <sheetView zoomScale="110" zoomScaleNormal="110" workbookViewId="0">
      <selection activeCell="D15" sqref="D15"/>
    </sheetView>
  </sheetViews>
  <sheetFormatPr defaultColWidth="9.140625" defaultRowHeight="12.75" x14ac:dyDescent="0.25"/>
  <cols>
    <col min="1" max="1" width="4.85546875" style="42" customWidth="1"/>
    <col min="2" max="2" width="20" style="151" customWidth="1"/>
    <col min="3" max="3" width="15.42578125" style="42" customWidth="1"/>
    <col min="4" max="4" width="24.140625" style="43" customWidth="1"/>
    <col min="5" max="5" width="10.42578125" style="44" customWidth="1"/>
    <col min="6" max="6" width="19.140625" style="45" customWidth="1"/>
    <col min="7" max="7" width="11.28515625" style="45" customWidth="1"/>
    <col min="8" max="14" width="11.28515625" style="46" customWidth="1"/>
    <col min="15" max="18" width="10.7109375" style="46" customWidth="1"/>
    <col min="19" max="32" width="10.7109375" style="46" hidden="1" customWidth="1"/>
    <col min="33" max="33" width="10.7109375" style="46" customWidth="1"/>
    <col min="34" max="35" width="9.140625" style="43"/>
    <col min="36" max="36" width="9.140625" style="43" customWidth="1"/>
    <col min="37" max="16384" width="9.140625" style="43"/>
  </cols>
  <sheetData>
    <row r="1" spans="1:35" ht="15" customHeight="1" x14ac:dyDescent="0.25">
      <c r="A1" s="355" t="s">
        <v>82</v>
      </c>
      <c r="B1" s="323" t="s">
        <v>696</v>
      </c>
      <c r="C1" s="323" t="s">
        <v>85</v>
      </c>
      <c r="D1" s="323" t="s">
        <v>83</v>
      </c>
      <c r="E1" s="321" t="s">
        <v>336</v>
      </c>
      <c r="F1" s="353" t="s">
        <v>357</v>
      </c>
      <c r="G1" s="348" t="s">
        <v>335</v>
      </c>
      <c r="H1" s="317" t="s">
        <v>322</v>
      </c>
      <c r="I1" s="319" t="s">
        <v>323</v>
      </c>
      <c r="J1" s="320"/>
      <c r="K1" s="327" t="s">
        <v>324</v>
      </c>
      <c r="L1" s="329"/>
      <c r="M1" s="327" t="s">
        <v>325</v>
      </c>
      <c r="N1" s="329"/>
      <c r="O1" s="327" t="s">
        <v>326</v>
      </c>
      <c r="P1" s="329"/>
      <c r="Q1" s="327" t="s">
        <v>327</v>
      </c>
      <c r="R1" s="329"/>
      <c r="S1" s="327" t="s">
        <v>328</v>
      </c>
      <c r="T1" s="329"/>
      <c r="U1" s="327" t="s">
        <v>329</v>
      </c>
      <c r="V1" s="329"/>
      <c r="W1" s="327" t="s">
        <v>330</v>
      </c>
      <c r="X1" s="329"/>
      <c r="Y1" s="327" t="s">
        <v>331</v>
      </c>
      <c r="Z1" s="329"/>
      <c r="AA1" s="327" t="s">
        <v>332</v>
      </c>
      <c r="AB1" s="329"/>
      <c r="AC1" s="327" t="s">
        <v>333</v>
      </c>
      <c r="AD1" s="329"/>
      <c r="AE1" s="327" t="s">
        <v>334</v>
      </c>
      <c r="AF1" s="328"/>
      <c r="AG1" s="325" t="s">
        <v>645</v>
      </c>
    </row>
    <row r="2" spans="1:35" ht="15.75" customHeight="1" thickBot="1" x14ac:dyDescent="0.3">
      <c r="A2" s="356"/>
      <c r="B2" s="324"/>
      <c r="C2" s="324"/>
      <c r="D2" s="324"/>
      <c r="E2" s="322"/>
      <c r="F2" s="354"/>
      <c r="G2" s="349"/>
      <c r="H2" s="318"/>
      <c r="I2" s="120" t="s">
        <v>643</v>
      </c>
      <c r="J2" s="120" t="s">
        <v>644</v>
      </c>
      <c r="K2" s="120" t="s">
        <v>643</v>
      </c>
      <c r="L2" s="120" t="s">
        <v>644</v>
      </c>
      <c r="M2" s="120" t="s">
        <v>643</v>
      </c>
      <c r="N2" s="120" t="s">
        <v>644</v>
      </c>
      <c r="O2" s="120" t="s">
        <v>643</v>
      </c>
      <c r="P2" s="120" t="s">
        <v>644</v>
      </c>
      <c r="Q2" s="120" t="s">
        <v>643</v>
      </c>
      <c r="R2" s="120" t="s">
        <v>644</v>
      </c>
      <c r="S2" s="120" t="s">
        <v>643</v>
      </c>
      <c r="T2" s="120" t="s">
        <v>644</v>
      </c>
      <c r="U2" s="120" t="s">
        <v>643</v>
      </c>
      <c r="V2" s="120" t="s">
        <v>644</v>
      </c>
      <c r="W2" s="120" t="s">
        <v>643</v>
      </c>
      <c r="X2" s="120" t="s">
        <v>644</v>
      </c>
      <c r="Y2" s="120" t="s">
        <v>643</v>
      </c>
      <c r="Z2" s="120" t="s">
        <v>644</v>
      </c>
      <c r="AA2" s="120" t="s">
        <v>643</v>
      </c>
      <c r="AB2" s="120" t="s">
        <v>644</v>
      </c>
      <c r="AC2" s="120" t="s">
        <v>643</v>
      </c>
      <c r="AD2" s="120" t="s">
        <v>644</v>
      </c>
      <c r="AE2" s="120" t="s">
        <v>643</v>
      </c>
      <c r="AF2" s="124" t="s">
        <v>644</v>
      </c>
      <c r="AG2" s="326"/>
    </row>
    <row r="3" spans="1:35" ht="12.75" customHeight="1" x14ac:dyDescent="0.25">
      <c r="A3" s="339" t="s">
        <v>251</v>
      </c>
      <c r="B3" s="357" t="s">
        <v>187</v>
      </c>
      <c r="C3" s="52" t="s">
        <v>191</v>
      </c>
      <c r="D3" s="53" t="s">
        <v>0</v>
      </c>
      <c r="E3" s="49" t="s">
        <v>337</v>
      </c>
      <c r="F3" s="54" t="s">
        <v>603</v>
      </c>
      <c r="G3" s="109" t="s">
        <v>604</v>
      </c>
      <c r="H3" s="67">
        <v>503</v>
      </c>
      <c r="I3" s="67">
        <v>511</v>
      </c>
      <c r="J3" s="67">
        <f>IF(I3&gt;0,I3-H3,)</f>
        <v>8</v>
      </c>
      <c r="K3" s="67">
        <v>519</v>
      </c>
      <c r="L3" s="67">
        <f>IF(K3&gt;0,K3-I3,)</f>
        <v>8</v>
      </c>
      <c r="M3" s="67">
        <v>524</v>
      </c>
      <c r="N3" s="67">
        <f>IF(M3&gt;0,M3-K3,)</f>
        <v>5</v>
      </c>
      <c r="O3" s="67">
        <v>530</v>
      </c>
      <c r="P3" s="67">
        <f>IF(O3&gt;0,O3-M3,)</f>
        <v>6</v>
      </c>
      <c r="Q3" s="67">
        <v>535</v>
      </c>
      <c r="R3" s="67">
        <f>IF(Q3&gt;0,Q3-O3,)</f>
        <v>5</v>
      </c>
      <c r="S3" s="67"/>
      <c r="T3" s="67">
        <f>IF(S3&gt;0,S3-Q3,)</f>
        <v>0</v>
      </c>
      <c r="U3" s="67"/>
      <c r="V3" s="67">
        <f>IF(U3&gt;0,U3-S3,)</f>
        <v>0</v>
      </c>
      <c r="W3" s="67"/>
      <c r="X3" s="67">
        <f>IF(W3&gt;0,W3-U3,)</f>
        <v>0</v>
      </c>
      <c r="Y3" s="67"/>
      <c r="Z3" s="67">
        <f>IF(Y3&gt;0,Y3-W3,)</f>
        <v>0</v>
      </c>
      <c r="AA3" s="67"/>
      <c r="AB3" s="67">
        <f>IF(AA3&gt;0,AA3-Y3,)</f>
        <v>0</v>
      </c>
      <c r="AC3" s="67"/>
      <c r="AD3" s="67">
        <f>IF(AC3&gt;0,AC3-AA3,)</f>
        <v>0</v>
      </c>
      <c r="AE3" s="67"/>
      <c r="AF3" s="67">
        <f>IF(AE3&gt;0,AE3-AC3,)</f>
        <v>0</v>
      </c>
      <c r="AG3" s="170">
        <f>J3+L3+N3+P3+R3+T3+V3+X3+Z3+AB3+AD3+AF3</f>
        <v>32</v>
      </c>
    </row>
    <row r="4" spans="1:35" ht="12.75" customHeight="1" x14ac:dyDescent="0.25">
      <c r="A4" s="359"/>
      <c r="B4" s="358"/>
      <c r="C4" s="38" t="s">
        <v>640</v>
      </c>
      <c r="D4" s="39" t="s">
        <v>0</v>
      </c>
      <c r="E4" s="50" t="s">
        <v>342</v>
      </c>
      <c r="F4" s="40" t="s">
        <v>595</v>
      </c>
      <c r="G4" s="110" t="s">
        <v>612</v>
      </c>
      <c r="H4" s="104"/>
      <c r="I4" s="104"/>
      <c r="J4" s="67">
        <v>166.67</v>
      </c>
      <c r="K4" s="104"/>
      <c r="L4" s="67">
        <v>162.63999999999999</v>
      </c>
      <c r="M4" s="104"/>
      <c r="N4" s="67">
        <v>112.67</v>
      </c>
      <c r="O4" s="104"/>
      <c r="P4" s="67">
        <v>54.12</v>
      </c>
      <c r="Q4" s="104"/>
      <c r="R4" s="67">
        <v>31.37</v>
      </c>
      <c r="S4" s="104"/>
      <c r="T4" s="67"/>
      <c r="U4" s="104"/>
      <c r="V4" s="67"/>
      <c r="W4" s="104"/>
      <c r="X4" s="67"/>
      <c r="Y4" s="104"/>
      <c r="Z4" s="67"/>
      <c r="AA4" s="104"/>
      <c r="AB4" s="67"/>
      <c r="AC4" s="104"/>
      <c r="AD4" s="67"/>
      <c r="AE4" s="104"/>
      <c r="AF4" s="108"/>
      <c r="AG4" s="171">
        <f t="shared" ref="AG4:AG68" si="0">J4+L4+N4+P4+R4+T4+V4+X4+Z4+AB4+AD4+AF4</f>
        <v>527.46999999999991</v>
      </c>
    </row>
    <row r="5" spans="1:35" ht="12.75" customHeight="1" x14ac:dyDescent="0.25">
      <c r="A5" s="359"/>
      <c r="B5" s="358"/>
      <c r="C5" s="39" t="s">
        <v>192</v>
      </c>
      <c r="D5" s="39" t="s">
        <v>0</v>
      </c>
      <c r="E5" s="128" t="s">
        <v>337</v>
      </c>
      <c r="F5" s="40" t="s">
        <v>601</v>
      </c>
      <c r="G5" s="110" t="s">
        <v>602</v>
      </c>
      <c r="H5" s="41">
        <v>98679</v>
      </c>
      <c r="I5" s="41">
        <v>98727</v>
      </c>
      <c r="J5" s="67">
        <f t="shared" ref="J5:J68" si="1">IF(I5&gt;0,I5-H5,)</f>
        <v>48</v>
      </c>
      <c r="K5" s="41">
        <v>98762</v>
      </c>
      <c r="L5" s="67">
        <f t="shared" ref="L5:L68" si="2">IF(K5&gt;0,K5-I5,)</f>
        <v>35</v>
      </c>
      <c r="M5" s="41">
        <v>98799</v>
      </c>
      <c r="N5" s="67">
        <f t="shared" ref="N5:N68" si="3">IF(M5&gt;0,M5-K5,)</f>
        <v>37</v>
      </c>
      <c r="O5" s="41">
        <v>98835</v>
      </c>
      <c r="P5" s="67">
        <f t="shared" ref="P5:P68" si="4">IF(O5&gt;0,O5-M5,)</f>
        <v>36</v>
      </c>
      <c r="Q5" s="41">
        <v>98895.1</v>
      </c>
      <c r="R5" s="67">
        <f t="shared" ref="R5:R68" si="5">IF(Q5&gt;0,Q5-O5,)</f>
        <v>60.100000000005821</v>
      </c>
      <c r="S5" s="41"/>
      <c r="T5" s="67">
        <f t="shared" ref="T5:T68" si="6">IF(S5&gt;0,S5-Q5,)</f>
        <v>0</v>
      </c>
      <c r="U5" s="41"/>
      <c r="V5" s="67">
        <f t="shared" ref="V5:V68" si="7">IF(U5&gt;0,U5-S5,)</f>
        <v>0</v>
      </c>
      <c r="W5" s="41"/>
      <c r="X5" s="67">
        <f t="shared" ref="X5:X68" si="8">IF(W5&gt;0,W5-U5,)</f>
        <v>0</v>
      </c>
      <c r="Y5" s="41"/>
      <c r="Z5" s="67">
        <f t="shared" ref="Z5:Z68" si="9">IF(Y5&gt;0,Y5-W5,)</f>
        <v>0</v>
      </c>
      <c r="AA5" s="41"/>
      <c r="AB5" s="67">
        <f t="shared" ref="AB5:AB68" si="10">IF(AA5&gt;0,AA5-Y5,)</f>
        <v>0</v>
      </c>
      <c r="AC5" s="41"/>
      <c r="AD5" s="67">
        <f t="shared" ref="AD5:AD68" si="11">IF(AC5&gt;0,AC5-AA5,)</f>
        <v>0</v>
      </c>
      <c r="AE5" s="41"/>
      <c r="AF5" s="108">
        <f t="shared" ref="AF5:AF68" si="12">IF(AE5&gt;0,AE5-AC5,)</f>
        <v>0</v>
      </c>
      <c r="AG5" s="127">
        <f t="shared" si="0"/>
        <v>216.10000000000582</v>
      </c>
    </row>
    <row r="6" spans="1:35" ht="12.75" customHeight="1" x14ac:dyDescent="0.25">
      <c r="A6" s="359"/>
      <c r="B6" s="358"/>
      <c r="C6" s="38" t="s">
        <v>193</v>
      </c>
      <c r="D6" s="39" t="s">
        <v>6</v>
      </c>
      <c r="E6" s="50" t="s">
        <v>348</v>
      </c>
      <c r="F6" s="40" t="s">
        <v>548</v>
      </c>
      <c r="G6" s="110" t="s">
        <v>585</v>
      </c>
      <c r="H6" s="41">
        <v>509233</v>
      </c>
      <c r="I6" s="41">
        <v>516115</v>
      </c>
      <c r="J6" s="67">
        <f t="shared" si="1"/>
        <v>6882</v>
      </c>
      <c r="K6" s="41">
        <v>522829</v>
      </c>
      <c r="L6" s="67">
        <f t="shared" si="2"/>
        <v>6714</v>
      </c>
      <c r="M6" s="41">
        <v>529782</v>
      </c>
      <c r="N6" s="67">
        <f t="shared" si="3"/>
        <v>6953</v>
      </c>
      <c r="O6" s="41">
        <v>535900</v>
      </c>
      <c r="P6" s="67">
        <f t="shared" si="4"/>
        <v>6118</v>
      </c>
      <c r="Q6" s="41">
        <v>541956</v>
      </c>
      <c r="R6" s="67">
        <f t="shared" si="5"/>
        <v>6056</v>
      </c>
      <c r="S6" s="41"/>
      <c r="T6" s="67">
        <f t="shared" si="6"/>
        <v>0</v>
      </c>
      <c r="U6" s="41"/>
      <c r="V6" s="67">
        <f t="shared" si="7"/>
        <v>0</v>
      </c>
      <c r="W6" s="41"/>
      <c r="X6" s="67">
        <f t="shared" si="8"/>
        <v>0</v>
      </c>
      <c r="Y6" s="41"/>
      <c r="Z6" s="67">
        <f t="shared" si="9"/>
        <v>0</v>
      </c>
      <c r="AA6" s="41"/>
      <c r="AB6" s="67">
        <f t="shared" si="10"/>
        <v>0</v>
      </c>
      <c r="AC6" s="41"/>
      <c r="AD6" s="67">
        <f t="shared" si="11"/>
        <v>0</v>
      </c>
      <c r="AE6" s="41"/>
      <c r="AF6" s="108">
        <f t="shared" si="12"/>
        <v>0</v>
      </c>
      <c r="AG6" s="127">
        <f t="shared" si="0"/>
        <v>32723</v>
      </c>
    </row>
    <row r="7" spans="1:35" ht="12.75" customHeight="1" x14ac:dyDescent="0.25">
      <c r="A7" s="359"/>
      <c r="B7" s="358"/>
      <c r="C7" s="38" t="s">
        <v>193</v>
      </c>
      <c r="D7" s="39" t="s">
        <v>6</v>
      </c>
      <c r="E7" s="50" t="s">
        <v>363</v>
      </c>
      <c r="F7" s="40" t="s">
        <v>548</v>
      </c>
      <c r="G7" s="110" t="s">
        <v>585</v>
      </c>
      <c r="H7" s="41">
        <v>142200</v>
      </c>
      <c r="I7" s="41">
        <v>143852</v>
      </c>
      <c r="J7" s="67">
        <f t="shared" si="1"/>
        <v>1652</v>
      </c>
      <c r="K7" s="41">
        <v>145657</v>
      </c>
      <c r="L7" s="67">
        <f t="shared" si="2"/>
        <v>1805</v>
      </c>
      <c r="M7" s="41">
        <v>147661</v>
      </c>
      <c r="N7" s="67">
        <f t="shared" si="3"/>
        <v>2004</v>
      </c>
      <c r="O7" s="41">
        <v>149400</v>
      </c>
      <c r="P7" s="67">
        <f t="shared" si="4"/>
        <v>1739</v>
      </c>
      <c r="Q7" s="41">
        <v>151566</v>
      </c>
      <c r="R7" s="67">
        <f t="shared" si="5"/>
        <v>2166</v>
      </c>
      <c r="S7" s="41"/>
      <c r="T7" s="67">
        <f t="shared" si="6"/>
        <v>0</v>
      </c>
      <c r="U7" s="41"/>
      <c r="V7" s="67">
        <f t="shared" si="7"/>
        <v>0</v>
      </c>
      <c r="W7" s="41"/>
      <c r="X7" s="67">
        <f t="shared" si="8"/>
        <v>0</v>
      </c>
      <c r="Y7" s="41"/>
      <c r="Z7" s="67">
        <f t="shared" si="9"/>
        <v>0</v>
      </c>
      <c r="AA7" s="41"/>
      <c r="AB7" s="67">
        <f t="shared" si="10"/>
        <v>0</v>
      </c>
      <c r="AC7" s="41"/>
      <c r="AD7" s="67">
        <f t="shared" si="11"/>
        <v>0</v>
      </c>
      <c r="AE7" s="41"/>
      <c r="AF7" s="108">
        <f t="shared" si="12"/>
        <v>0</v>
      </c>
      <c r="AG7" s="127">
        <f t="shared" si="0"/>
        <v>9366</v>
      </c>
    </row>
    <row r="8" spans="1:35" ht="12.75" customHeight="1" x14ac:dyDescent="0.25">
      <c r="A8" s="359"/>
      <c r="B8" s="358"/>
      <c r="C8" s="38" t="s">
        <v>193</v>
      </c>
      <c r="D8" s="134" t="s">
        <v>6</v>
      </c>
      <c r="E8" s="176" t="s">
        <v>337</v>
      </c>
      <c r="F8" s="40" t="s">
        <v>605</v>
      </c>
      <c r="G8" s="110" t="s">
        <v>606</v>
      </c>
      <c r="H8" s="41">
        <v>1146</v>
      </c>
      <c r="I8" s="41">
        <v>1159</v>
      </c>
      <c r="J8" s="67">
        <f t="shared" si="1"/>
        <v>13</v>
      </c>
      <c r="K8" s="41">
        <v>1176</v>
      </c>
      <c r="L8" s="67">
        <f t="shared" si="2"/>
        <v>17</v>
      </c>
      <c r="M8" s="41">
        <v>1186</v>
      </c>
      <c r="N8" s="67">
        <f t="shared" si="3"/>
        <v>10</v>
      </c>
      <c r="O8" s="41">
        <v>1197</v>
      </c>
      <c r="P8" s="67">
        <f t="shared" si="4"/>
        <v>11</v>
      </c>
      <c r="Q8" s="41">
        <v>1208</v>
      </c>
      <c r="R8" s="67">
        <f t="shared" si="5"/>
        <v>11</v>
      </c>
      <c r="S8" s="41"/>
      <c r="T8" s="67">
        <f t="shared" si="6"/>
        <v>0</v>
      </c>
      <c r="U8" s="41"/>
      <c r="V8" s="67">
        <f t="shared" si="7"/>
        <v>0</v>
      </c>
      <c r="W8" s="41"/>
      <c r="X8" s="67">
        <f t="shared" si="8"/>
        <v>0</v>
      </c>
      <c r="Y8" s="41"/>
      <c r="Z8" s="67">
        <f t="shared" si="9"/>
        <v>0</v>
      </c>
      <c r="AA8" s="41"/>
      <c r="AB8" s="67">
        <f t="shared" si="10"/>
        <v>0</v>
      </c>
      <c r="AC8" s="41"/>
      <c r="AD8" s="67">
        <f t="shared" si="11"/>
        <v>0</v>
      </c>
      <c r="AE8" s="41"/>
      <c r="AF8" s="108">
        <f t="shared" si="12"/>
        <v>0</v>
      </c>
      <c r="AG8" s="127">
        <f t="shared" si="0"/>
        <v>62</v>
      </c>
      <c r="AH8" s="47"/>
      <c r="AI8" s="47"/>
    </row>
    <row r="9" spans="1:35" ht="12.75" customHeight="1" x14ac:dyDescent="0.25">
      <c r="A9" s="337" t="s">
        <v>252</v>
      </c>
      <c r="B9" s="358"/>
      <c r="C9" s="38" t="s">
        <v>17</v>
      </c>
      <c r="D9" s="39" t="s">
        <v>18</v>
      </c>
      <c r="E9" s="50" t="s">
        <v>348</v>
      </c>
      <c r="F9" s="40" t="s">
        <v>544</v>
      </c>
      <c r="G9" s="110" t="s">
        <v>587</v>
      </c>
      <c r="H9" s="41">
        <v>47979</v>
      </c>
      <c r="I9" s="41">
        <v>49612</v>
      </c>
      <c r="J9" s="67">
        <f t="shared" si="1"/>
        <v>1633</v>
      </c>
      <c r="K9" s="41">
        <v>51139</v>
      </c>
      <c r="L9" s="67">
        <f t="shared" si="2"/>
        <v>1527</v>
      </c>
      <c r="M9" s="41">
        <v>52682</v>
      </c>
      <c r="N9" s="67">
        <f t="shared" si="3"/>
        <v>1543</v>
      </c>
      <c r="O9" s="41">
        <v>54249</v>
      </c>
      <c r="P9" s="67">
        <f t="shared" si="4"/>
        <v>1567</v>
      </c>
      <c r="Q9" s="41">
        <v>55840</v>
      </c>
      <c r="R9" s="67">
        <f t="shared" si="5"/>
        <v>1591</v>
      </c>
      <c r="S9" s="41"/>
      <c r="T9" s="67">
        <f t="shared" si="6"/>
        <v>0</v>
      </c>
      <c r="U9" s="41"/>
      <c r="V9" s="67">
        <f t="shared" si="7"/>
        <v>0</v>
      </c>
      <c r="W9" s="41"/>
      <c r="X9" s="67">
        <f t="shared" si="8"/>
        <v>0</v>
      </c>
      <c r="Y9" s="41"/>
      <c r="Z9" s="67">
        <f t="shared" si="9"/>
        <v>0</v>
      </c>
      <c r="AA9" s="41"/>
      <c r="AB9" s="67">
        <f t="shared" si="10"/>
        <v>0</v>
      </c>
      <c r="AC9" s="41"/>
      <c r="AD9" s="67">
        <f t="shared" si="11"/>
        <v>0</v>
      </c>
      <c r="AE9" s="41"/>
      <c r="AF9" s="108">
        <f t="shared" si="12"/>
        <v>0</v>
      </c>
      <c r="AG9" s="127">
        <f t="shared" si="0"/>
        <v>7861</v>
      </c>
    </row>
    <row r="10" spans="1:35" ht="12.75" customHeight="1" x14ac:dyDescent="0.25">
      <c r="A10" s="338"/>
      <c r="B10" s="358"/>
      <c r="C10" s="38" t="s">
        <v>17</v>
      </c>
      <c r="D10" s="39" t="s">
        <v>18</v>
      </c>
      <c r="E10" s="50" t="s">
        <v>348</v>
      </c>
      <c r="F10" s="40" t="s">
        <v>545</v>
      </c>
      <c r="G10" s="110" t="s">
        <v>586</v>
      </c>
      <c r="H10" s="41">
        <v>20938</v>
      </c>
      <c r="I10" s="41">
        <v>21686</v>
      </c>
      <c r="J10" s="67">
        <f t="shared" si="1"/>
        <v>748</v>
      </c>
      <c r="K10" s="41">
        <v>22453</v>
      </c>
      <c r="L10" s="67">
        <f t="shared" si="2"/>
        <v>767</v>
      </c>
      <c r="M10" s="41">
        <v>23295</v>
      </c>
      <c r="N10" s="67">
        <f t="shared" si="3"/>
        <v>842</v>
      </c>
      <c r="O10" s="41">
        <v>24093</v>
      </c>
      <c r="P10" s="67">
        <f t="shared" si="4"/>
        <v>798</v>
      </c>
      <c r="Q10" s="41">
        <v>24821</v>
      </c>
      <c r="R10" s="67">
        <f t="shared" si="5"/>
        <v>728</v>
      </c>
      <c r="S10" s="41"/>
      <c r="T10" s="67">
        <f t="shared" si="6"/>
        <v>0</v>
      </c>
      <c r="U10" s="41"/>
      <c r="V10" s="67">
        <f t="shared" si="7"/>
        <v>0</v>
      </c>
      <c r="W10" s="41"/>
      <c r="X10" s="67">
        <f t="shared" si="8"/>
        <v>0</v>
      </c>
      <c r="Y10" s="41"/>
      <c r="Z10" s="67">
        <f t="shared" si="9"/>
        <v>0</v>
      </c>
      <c r="AA10" s="41"/>
      <c r="AB10" s="67">
        <f t="shared" si="10"/>
        <v>0</v>
      </c>
      <c r="AC10" s="41"/>
      <c r="AD10" s="67">
        <f t="shared" si="11"/>
        <v>0</v>
      </c>
      <c r="AE10" s="41"/>
      <c r="AF10" s="108">
        <f t="shared" si="12"/>
        <v>0</v>
      </c>
      <c r="AG10" s="127">
        <f t="shared" si="0"/>
        <v>3883</v>
      </c>
    </row>
    <row r="11" spans="1:35" ht="12.75" customHeight="1" x14ac:dyDescent="0.25">
      <c r="A11" s="338"/>
      <c r="B11" s="358"/>
      <c r="C11" s="38" t="s">
        <v>17</v>
      </c>
      <c r="D11" s="39" t="s">
        <v>18</v>
      </c>
      <c r="E11" s="50" t="s">
        <v>342</v>
      </c>
      <c r="F11" s="40" t="s">
        <v>597</v>
      </c>
      <c r="G11" s="110" t="s">
        <v>611</v>
      </c>
      <c r="H11" s="104"/>
      <c r="I11" s="104"/>
      <c r="J11" s="67">
        <v>168.75</v>
      </c>
      <c r="K11" s="104"/>
      <c r="L11" s="67">
        <v>153.58000000000001</v>
      </c>
      <c r="M11" s="104"/>
      <c r="N11" s="67">
        <v>113.14</v>
      </c>
      <c r="O11" s="104"/>
      <c r="P11" s="67">
        <v>60.49</v>
      </c>
      <c r="Q11" s="104"/>
      <c r="R11" s="67">
        <v>36.479999999999997</v>
      </c>
      <c r="S11" s="104"/>
      <c r="T11" s="67"/>
      <c r="U11" s="104"/>
      <c r="V11" s="67"/>
      <c r="W11" s="104"/>
      <c r="X11" s="67"/>
      <c r="Y11" s="104"/>
      <c r="Z11" s="67"/>
      <c r="AA11" s="104"/>
      <c r="AB11" s="67"/>
      <c r="AC11" s="104"/>
      <c r="AD11" s="67"/>
      <c r="AE11" s="104"/>
      <c r="AF11" s="108"/>
      <c r="AG11" s="171">
        <f t="shared" si="0"/>
        <v>532.44000000000005</v>
      </c>
    </row>
    <row r="12" spans="1:35" ht="12.75" customHeight="1" x14ac:dyDescent="0.25">
      <c r="A12" s="339"/>
      <c r="B12" s="358"/>
      <c r="C12" s="38" t="s">
        <v>17</v>
      </c>
      <c r="D12" s="39" t="s">
        <v>18</v>
      </c>
      <c r="E12" s="50" t="s">
        <v>337</v>
      </c>
      <c r="F12" s="40" t="s">
        <v>600</v>
      </c>
      <c r="G12" s="110" t="s">
        <v>358</v>
      </c>
      <c r="H12" s="41">
        <v>1559</v>
      </c>
      <c r="I12" s="41">
        <v>12</v>
      </c>
      <c r="J12" s="67">
        <f>1574-1559+12</f>
        <v>27</v>
      </c>
      <c r="K12" s="41">
        <v>34</v>
      </c>
      <c r="L12" s="67">
        <f t="shared" si="2"/>
        <v>22</v>
      </c>
      <c r="M12" s="41">
        <v>59</v>
      </c>
      <c r="N12" s="67">
        <f t="shared" si="3"/>
        <v>25</v>
      </c>
      <c r="O12" s="41">
        <v>81</v>
      </c>
      <c r="P12" s="67">
        <f t="shared" si="4"/>
        <v>22</v>
      </c>
      <c r="Q12" s="41">
        <v>103</v>
      </c>
      <c r="R12" s="67">
        <f t="shared" si="5"/>
        <v>22</v>
      </c>
      <c r="S12" s="41"/>
      <c r="T12" s="67">
        <f t="shared" si="6"/>
        <v>0</v>
      </c>
      <c r="U12" s="41"/>
      <c r="V12" s="67">
        <f t="shared" si="7"/>
        <v>0</v>
      </c>
      <c r="W12" s="41"/>
      <c r="X12" s="67">
        <f t="shared" si="8"/>
        <v>0</v>
      </c>
      <c r="Y12" s="41"/>
      <c r="Z12" s="67">
        <f t="shared" si="9"/>
        <v>0</v>
      </c>
      <c r="AA12" s="41"/>
      <c r="AB12" s="67">
        <f t="shared" si="10"/>
        <v>0</v>
      </c>
      <c r="AC12" s="41"/>
      <c r="AD12" s="67">
        <f t="shared" si="11"/>
        <v>0</v>
      </c>
      <c r="AE12" s="41"/>
      <c r="AF12" s="108">
        <f t="shared" si="12"/>
        <v>0</v>
      </c>
      <c r="AG12" s="127">
        <f t="shared" si="0"/>
        <v>118</v>
      </c>
    </row>
    <row r="13" spans="1:35" ht="12.75" customHeight="1" x14ac:dyDescent="0.25">
      <c r="A13" s="337" t="s">
        <v>253</v>
      </c>
      <c r="B13" s="358"/>
      <c r="C13" s="38" t="s">
        <v>19</v>
      </c>
      <c r="D13" s="39" t="s">
        <v>21</v>
      </c>
      <c r="E13" s="50" t="s">
        <v>348</v>
      </c>
      <c r="F13" s="40" t="s">
        <v>546</v>
      </c>
      <c r="G13" s="110" t="s">
        <v>588</v>
      </c>
      <c r="H13" s="41">
        <v>47631</v>
      </c>
      <c r="I13" s="41">
        <v>48966</v>
      </c>
      <c r="J13" s="67">
        <f t="shared" si="1"/>
        <v>1335</v>
      </c>
      <c r="K13" s="41">
        <v>50210</v>
      </c>
      <c r="L13" s="67">
        <f t="shared" si="2"/>
        <v>1244</v>
      </c>
      <c r="M13" s="41">
        <v>51459</v>
      </c>
      <c r="N13" s="67">
        <f t="shared" si="3"/>
        <v>1249</v>
      </c>
      <c r="O13" s="41">
        <v>52650</v>
      </c>
      <c r="P13" s="67">
        <f t="shared" si="4"/>
        <v>1191</v>
      </c>
      <c r="Q13" s="41">
        <v>53797</v>
      </c>
      <c r="R13" s="67">
        <f t="shared" si="5"/>
        <v>1147</v>
      </c>
      <c r="S13" s="41"/>
      <c r="T13" s="67">
        <f t="shared" si="6"/>
        <v>0</v>
      </c>
      <c r="U13" s="41"/>
      <c r="V13" s="67">
        <f t="shared" si="7"/>
        <v>0</v>
      </c>
      <c r="W13" s="41"/>
      <c r="X13" s="67">
        <f t="shared" si="8"/>
        <v>0</v>
      </c>
      <c r="Y13" s="41"/>
      <c r="Z13" s="67">
        <f t="shared" si="9"/>
        <v>0</v>
      </c>
      <c r="AA13" s="41"/>
      <c r="AB13" s="67">
        <f t="shared" si="10"/>
        <v>0</v>
      </c>
      <c r="AC13" s="41"/>
      <c r="AD13" s="67">
        <f t="shared" si="11"/>
        <v>0</v>
      </c>
      <c r="AE13" s="41"/>
      <c r="AF13" s="108">
        <f t="shared" si="12"/>
        <v>0</v>
      </c>
      <c r="AG13" s="127">
        <f t="shared" si="0"/>
        <v>6166</v>
      </c>
    </row>
    <row r="14" spans="1:35" ht="12.75" customHeight="1" x14ac:dyDescent="0.25">
      <c r="A14" s="338"/>
      <c r="B14" s="358"/>
      <c r="C14" s="38" t="s">
        <v>19</v>
      </c>
      <c r="D14" s="39" t="s">
        <v>21</v>
      </c>
      <c r="E14" s="50" t="s">
        <v>342</v>
      </c>
      <c r="F14" s="40" t="s">
        <v>598</v>
      </c>
      <c r="G14" s="110" t="s">
        <v>611</v>
      </c>
      <c r="H14" s="104"/>
      <c r="I14" s="104"/>
      <c r="J14" s="67"/>
      <c r="K14" s="104"/>
      <c r="L14" s="67"/>
      <c r="M14" s="104"/>
      <c r="N14" s="67"/>
      <c r="O14" s="104"/>
      <c r="P14" s="67"/>
      <c r="Q14" s="104"/>
      <c r="R14" s="67"/>
      <c r="S14" s="104"/>
      <c r="T14" s="67"/>
      <c r="U14" s="104"/>
      <c r="V14" s="67"/>
      <c r="W14" s="104"/>
      <c r="X14" s="67"/>
      <c r="Y14" s="104"/>
      <c r="Z14" s="67"/>
      <c r="AA14" s="104"/>
      <c r="AB14" s="67"/>
      <c r="AC14" s="104"/>
      <c r="AD14" s="67"/>
      <c r="AE14" s="104"/>
      <c r="AF14" s="108"/>
      <c r="AG14" s="171">
        <f t="shared" si="0"/>
        <v>0</v>
      </c>
    </row>
    <row r="15" spans="1:35" ht="12.75" customHeight="1" x14ac:dyDescent="0.25">
      <c r="A15" s="339"/>
      <c r="B15" s="358"/>
      <c r="C15" s="38" t="s">
        <v>19</v>
      </c>
      <c r="D15" s="39" t="s">
        <v>21</v>
      </c>
      <c r="E15" s="50" t="s">
        <v>337</v>
      </c>
      <c r="F15" s="40" t="s">
        <v>599</v>
      </c>
      <c r="G15" s="110" t="s">
        <v>362</v>
      </c>
      <c r="H15" s="41">
        <v>613</v>
      </c>
      <c r="I15" s="41">
        <v>559</v>
      </c>
      <c r="J15" s="67">
        <f>618-613+559-557</f>
        <v>7</v>
      </c>
      <c r="K15" s="41">
        <v>566</v>
      </c>
      <c r="L15" s="67">
        <f t="shared" si="2"/>
        <v>7</v>
      </c>
      <c r="M15" s="41">
        <v>575</v>
      </c>
      <c r="N15" s="67">
        <f t="shared" si="3"/>
        <v>9</v>
      </c>
      <c r="O15" s="41">
        <v>582</v>
      </c>
      <c r="P15" s="67">
        <f t="shared" si="4"/>
        <v>7</v>
      </c>
      <c r="Q15" s="41">
        <v>589</v>
      </c>
      <c r="R15" s="67">
        <f t="shared" si="5"/>
        <v>7</v>
      </c>
      <c r="S15" s="41"/>
      <c r="T15" s="67">
        <f t="shared" si="6"/>
        <v>0</v>
      </c>
      <c r="U15" s="41"/>
      <c r="V15" s="67">
        <f t="shared" si="7"/>
        <v>0</v>
      </c>
      <c r="W15" s="41"/>
      <c r="X15" s="67">
        <f t="shared" si="8"/>
        <v>0</v>
      </c>
      <c r="Y15" s="41"/>
      <c r="Z15" s="67">
        <f t="shared" si="9"/>
        <v>0</v>
      </c>
      <c r="AA15" s="41"/>
      <c r="AB15" s="67">
        <f t="shared" si="10"/>
        <v>0</v>
      </c>
      <c r="AC15" s="41"/>
      <c r="AD15" s="67">
        <f t="shared" si="11"/>
        <v>0</v>
      </c>
      <c r="AE15" s="41"/>
      <c r="AF15" s="108">
        <f t="shared" si="12"/>
        <v>0</v>
      </c>
      <c r="AG15" s="127">
        <f t="shared" si="0"/>
        <v>37</v>
      </c>
    </row>
    <row r="16" spans="1:35" ht="12.75" customHeight="1" x14ac:dyDescent="0.25">
      <c r="A16" s="337" t="s">
        <v>254</v>
      </c>
      <c r="B16" s="358"/>
      <c r="C16" s="38" t="s">
        <v>54</v>
      </c>
      <c r="D16" s="39" t="s">
        <v>13</v>
      </c>
      <c r="E16" s="50" t="s">
        <v>348</v>
      </c>
      <c r="F16" s="40" t="s">
        <v>547</v>
      </c>
      <c r="G16" s="110" t="s">
        <v>565</v>
      </c>
      <c r="H16" s="41">
        <v>148861</v>
      </c>
      <c r="I16" s="41">
        <v>149898</v>
      </c>
      <c r="J16" s="67">
        <f t="shared" si="1"/>
        <v>1037</v>
      </c>
      <c r="K16" s="41">
        <v>150909</v>
      </c>
      <c r="L16" s="67">
        <f t="shared" si="2"/>
        <v>1011</v>
      </c>
      <c r="M16" s="41">
        <v>151994</v>
      </c>
      <c r="N16" s="67">
        <f t="shared" si="3"/>
        <v>1085</v>
      </c>
      <c r="O16" s="41">
        <v>153000</v>
      </c>
      <c r="P16" s="67">
        <f t="shared" si="4"/>
        <v>1006</v>
      </c>
      <c r="Q16" s="41">
        <v>1165</v>
      </c>
      <c r="R16" s="67">
        <f>Q16+152886-O16</f>
        <v>1051</v>
      </c>
      <c r="S16" s="41"/>
      <c r="T16" s="67">
        <f t="shared" si="6"/>
        <v>0</v>
      </c>
      <c r="U16" s="41"/>
      <c r="V16" s="67">
        <f t="shared" si="7"/>
        <v>0</v>
      </c>
      <c r="W16" s="41"/>
      <c r="X16" s="67">
        <f t="shared" si="8"/>
        <v>0</v>
      </c>
      <c r="Y16" s="41"/>
      <c r="Z16" s="67">
        <f t="shared" si="9"/>
        <v>0</v>
      </c>
      <c r="AA16" s="41"/>
      <c r="AB16" s="67">
        <f t="shared" si="10"/>
        <v>0</v>
      </c>
      <c r="AC16" s="41"/>
      <c r="AD16" s="67">
        <f t="shared" si="11"/>
        <v>0</v>
      </c>
      <c r="AE16" s="41"/>
      <c r="AF16" s="108">
        <f t="shared" si="12"/>
        <v>0</v>
      </c>
      <c r="AG16" s="127">
        <f t="shared" si="0"/>
        <v>5190</v>
      </c>
    </row>
    <row r="17" spans="1:33" ht="12.75" customHeight="1" x14ac:dyDescent="0.25">
      <c r="A17" s="338"/>
      <c r="B17" s="358"/>
      <c r="C17" s="38" t="s">
        <v>54</v>
      </c>
      <c r="D17" s="39" t="s">
        <v>13</v>
      </c>
      <c r="E17" s="50" t="s">
        <v>304</v>
      </c>
      <c r="F17" s="40" t="s">
        <v>388</v>
      </c>
      <c r="G17" s="110" t="s">
        <v>448</v>
      </c>
      <c r="H17" s="41">
        <v>1</v>
      </c>
      <c r="I17" s="41">
        <v>1</v>
      </c>
      <c r="J17" s="67">
        <f t="shared" si="1"/>
        <v>0</v>
      </c>
      <c r="K17" s="41">
        <v>1</v>
      </c>
      <c r="L17" s="67">
        <f t="shared" si="2"/>
        <v>0</v>
      </c>
      <c r="M17" s="41">
        <v>1</v>
      </c>
      <c r="N17" s="67">
        <f t="shared" si="3"/>
        <v>0</v>
      </c>
      <c r="O17" s="41">
        <v>1</v>
      </c>
      <c r="P17" s="67">
        <f t="shared" si="4"/>
        <v>0</v>
      </c>
      <c r="Q17" s="41">
        <v>1</v>
      </c>
      <c r="R17" s="67">
        <f t="shared" si="5"/>
        <v>0</v>
      </c>
      <c r="S17" s="41"/>
      <c r="T17" s="67">
        <f t="shared" si="6"/>
        <v>0</v>
      </c>
      <c r="U17" s="41"/>
      <c r="V17" s="67">
        <f t="shared" si="7"/>
        <v>0</v>
      </c>
      <c r="W17" s="41"/>
      <c r="X17" s="67">
        <f t="shared" si="8"/>
        <v>0</v>
      </c>
      <c r="Y17" s="41"/>
      <c r="Z17" s="67">
        <f t="shared" si="9"/>
        <v>0</v>
      </c>
      <c r="AA17" s="41"/>
      <c r="AB17" s="67">
        <f t="shared" si="10"/>
        <v>0</v>
      </c>
      <c r="AC17" s="41"/>
      <c r="AD17" s="67">
        <f t="shared" si="11"/>
        <v>0</v>
      </c>
      <c r="AE17" s="41"/>
      <c r="AF17" s="108">
        <f t="shared" si="12"/>
        <v>0</v>
      </c>
      <c r="AG17" s="127">
        <f t="shared" si="0"/>
        <v>0</v>
      </c>
    </row>
    <row r="18" spans="1:33" ht="12.75" customHeight="1" x14ac:dyDescent="0.25">
      <c r="A18" s="338"/>
      <c r="B18" s="358"/>
      <c r="C18" s="38" t="s">
        <v>54</v>
      </c>
      <c r="D18" s="39" t="s">
        <v>13</v>
      </c>
      <c r="E18" s="50" t="s">
        <v>342</v>
      </c>
      <c r="F18" s="40" t="s">
        <v>592</v>
      </c>
      <c r="G18" s="110" t="s">
        <v>610</v>
      </c>
      <c r="H18" s="104"/>
      <c r="I18" s="104"/>
      <c r="J18" s="67">
        <v>11.96</v>
      </c>
      <c r="K18" s="104"/>
      <c r="L18" s="67">
        <v>10.81</v>
      </c>
      <c r="M18" s="104"/>
      <c r="N18" s="67">
        <v>9.26</v>
      </c>
      <c r="O18" s="104"/>
      <c r="P18" s="67">
        <v>3.51</v>
      </c>
      <c r="Q18" s="104"/>
      <c r="R18" s="67">
        <v>1.26</v>
      </c>
      <c r="S18" s="104"/>
      <c r="T18" s="67"/>
      <c r="U18" s="104"/>
      <c r="V18" s="67"/>
      <c r="W18" s="104"/>
      <c r="X18" s="67"/>
      <c r="Y18" s="104"/>
      <c r="Z18" s="67"/>
      <c r="AA18" s="104"/>
      <c r="AB18" s="67"/>
      <c r="AC18" s="104"/>
      <c r="AD18" s="67"/>
      <c r="AE18" s="104"/>
      <c r="AF18" s="108"/>
      <c r="AG18" s="171">
        <f t="shared" si="0"/>
        <v>36.799999999999997</v>
      </c>
    </row>
    <row r="19" spans="1:33" ht="12.75" customHeight="1" x14ac:dyDescent="0.25">
      <c r="A19" s="338"/>
      <c r="B19" s="358"/>
      <c r="C19" s="38" t="s">
        <v>54</v>
      </c>
      <c r="D19" s="39" t="s">
        <v>13</v>
      </c>
      <c r="E19" s="50" t="s">
        <v>337</v>
      </c>
      <c r="F19" s="40" t="s">
        <v>591</v>
      </c>
      <c r="G19" s="110" t="s">
        <v>593</v>
      </c>
      <c r="H19" s="41">
        <v>82</v>
      </c>
      <c r="I19" s="41">
        <v>91</v>
      </c>
      <c r="J19" s="67">
        <f t="shared" si="1"/>
        <v>9</v>
      </c>
      <c r="K19" s="41">
        <v>101</v>
      </c>
      <c r="L19" s="67">
        <f t="shared" si="2"/>
        <v>10</v>
      </c>
      <c r="M19" s="41">
        <v>110</v>
      </c>
      <c r="N19" s="67">
        <f t="shared" si="3"/>
        <v>9</v>
      </c>
      <c r="O19" s="41">
        <v>120</v>
      </c>
      <c r="P19" s="67">
        <f t="shared" si="4"/>
        <v>10</v>
      </c>
      <c r="Q19" s="41">
        <v>130</v>
      </c>
      <c r="R19" s="67">
        <f t="shared" si="5"/>
        <v>10</v>
      </c>
      <c r="S19" s="41"/>
      <c r="T19" s="67">
        <f t="shared" si="6"/>
        <v>0</v>
      </c>
      <c r="U19" s="41"/>
      <c r="V19" s="67">
        <f t="shared" si="7"/>
        <v>0</v>
      </c>
      <c r="W19" s="41"/>
      <c r="X19" s="67">
        <f t="shared" si="8"/>
        <v>0</v>
      </c>
      <c r="Y19" s="41"/>
      <c r="Z19" s="67">
        <f t="shared" si="9"/>
        <v>0</v>
      </c>
      <c r="AA19" s="41"/>
      <c r="AB19" s="67">
        <f t="shared" si="10"/>
        <v>0</v>
      </c>
      <c r="AC19" s="41"/>
      <c r="AD19" s="67">
        <f t="shared" si="11"/>
        <v>0</v>
      </c>
      <c r="AE19" s="41"/>
      <c r="AF19" s="108">
        <f t="shared" si="12"/>
        <v>0</v>
      </c>
      <c r="AG19" s="171">
        <f t="shared" si="0"/>
        <v>48</v>
      </c>
    </row>
    <row r="20" spans="1:33" ht="12.75" customHeight="1" x14ac:dyDescent="0.25">
      <c r="A20" s="360"/>
      <c r="B20" s="358"/>
      <c r="C20" s="89" t="s">
        <v>148</v>
      </c>
      <c r="D20" s="89" t="s">
        <v>14</v>
      </c>
      <c r="E20" s="90" t="s">
        <v>348</v>
      </c>
      <c r="F20" s="91" t="s">
        <v>550</v>
      </c>
      <c r="G20" s="111" t="s">
        <v>763</v>
      </c>
      <c r="H20" s="87">
        <v>40</v>
      </c>
      <c r="I20" s="87">
        <v>64</v>
      </c>
      <c r="J20" s="121">
        <f t="shared" si="1"/>
        <v>24</v>
      </c>
      <c r="K20" s="87">
        <v>90</v>
      </c>
      <c r="L20" s="121">
        <f t="shared" si="2"/>
        <v>26</v>
      </c>
      <c r="M20" s="87">
        <v>126</v>
      </c>
      <c r="N20" s="121">
        <f t="shared" si="3"/>
        <v>36</v>
      </c>
      <c r="O20" s="87"/>
      <c r="P20" s="121">
        <f t="shared" si="4"/>
        <v>0</v>
      </c>
      <c r="Q20" s="87">
        <v>159</v>
      </c>
      <c r="R20" s="121">
        <f t="shared" si="5"/>
        <v>159</v>
      </c>
      <c r="S20" s="87"/>
      <c r="T20" s="121">
        <f t="shared" si="6"/>
        <v>0</v>
      </c>
      <c r="U20" s="87"/>
      <c r="V20" s="121"/>
      <c r="W20" s="87"/>
      <c r="X20" s="121"/>
      <c r="Y20" s="87"/>
      <c r="Z20" s="121"/>
      <c r="AA20" s="87"/>
      <c r="AB20" s="121"/>
      <c r="AC20" s="87"/>
      <c r="AD20" s="121"/>
      <c r="AE20" s="87"/>
      <c r="AF20" s="125"/>
      <c r="AG20" s="127">
        <f>IF(AE20&gt;0,AE20-H20,)</f>
        <v>0</v>
      </c>
    </row>
    <row r="21" spans="1:33" ht="12.75" customHeight="1" x14ac:dyDescent="0.25">
      <c r="A21" s="361"/>
      <c r="B21" s="358"/>
      <c r="C21" s="89" t="s">
        <v>148</v>
      </c>
      <c r="D21" s="89" t="s">
        <v>14</v>
      </c>
      <c r="E21" s="90" t="s">
        <v>363</v>
      </c>
      <c r="F21" s="91" t="s">
        <v>550</v>
      </c>
      <c r="G21" s="111" t="s">
        <v>763</v>
      </c>
      <c r="H21" s="87">
        <v>3571</v>
      </c>
      <c r="I21" s="87">
        <v>5895</v>
      </c>
      <c r="J21" s="121">
        <f t="shared" si="1"/>
        <v>2324</v>
      </c>
      <c r="K21" s="87">
        <v>8317</v>
      </c>
      <c r="L21" s="121">
        <f>IF(K21&gt;0,K21-I21,)</f>
        <v>2422</v>
      </c>
      <c r="M21" s="87">
        <v>10387</v>
      </c>
      <c r="N21" s="121">
        <f t="shared" si="3"/>
        <v>2070</v>
      </c>
      <c r="O21" s="87"/>
      <c r="P21" s="121">
        <f t="shared" si="4"/>
        <v>0</v>
      </c>
      <c r="Q21" s="87">
        <v>12830</v>
      </c>
      <c r="R21" s="121">
        <f t="shared" si="5"/>
        <v>12830</v>
      </c>
      <c r="S21" s="87"/>
      <c r="T21" s="121">
        <f t="shared" si="6"/>
        <v>0</v>
      </c>
      <c r="U21" s="87"/>
      <c r="V21" s="121"/>
      <c r="W21" s="87"/>
      <c r="X21" s="121"/>
      <c r="Y21" s="87"/>
      <c r="Z21" s="121"/>
      <c r="AA21" s="87"/>
      <c r="AB21" s="121"/>
      <c r="AC21" s="87"/>
      <c r="AD21" s="121"/>
      <c r="AE21" s="87"/>
      <c r="AF21" s="125"/>
      <c r="AG21" s="127">
        <f t="shared" ref="AG21:AG23" si="13">IF(AE21&gt;0,AE21-H21,)</f>
        <v>0</v>
      </c>
    </row>
    <row r="22" spans="1:33" ht="12.75" customHeight="1" x14ac:dyDescent="0.25">
      <c r="A22" s="361"/>
      <c r="B22" s="358"/>
      <c r="C22" s="89" t="s">
        <v>148</v>
      </c>
      <c r="D22" s="89" t="s">
        <v>14</v>
      </c>
      <c r="E22" s="90" t="s">
        <v>348</v>
      </c>
      <c r="F22" s="91" t="s">
        <v>543</v>
      </c>
      <c r="G22" s="111" t="s">
        <v>555</v>
      </c>
      <c r="H22" s="87">
        <v>301</v>
      </c>
      <c r="I22" s="87">
        <v>306</v>
      </c>
      <c r="J22" s="121">
        <f t="shared" si="1"/>
        <v>5</v>
      </c>
      <c r="K22" s="87">
        <v>310</v>
      </c>
      <c r="L22" s="121">
        <f t="shared" ref="L22:L24" si="14">IF(K22&gt;0,K22-I22,)</f>
        <v>4</v>
      </c>
      <c r="M22" s="87">
        <v>314</v>
      </c>
      <c r="N22" s="121">
        <f t="shared" si="3"/>
        <v>4</v>
      </c>
      <c r="O22" s="87"/>
      <c r="P22" s="121">
        <f t="shared" si="4"/>
        <v>0</v>
      </c>
      <c r="Q22" s="87">
        <v>320</v>
      </c>
      <c r="R22" s="121">
        <f t="shared" si="5"/>
        <v>320</v>
      </c>
      <c r="S22" s="87"/>
      <c r="T22" s="121"/>
      <c r="U22" s="87"/>
      <c r="V22" s="121"/>
      <c r="W22" s="87"/>
      <c r="X22" s="121"/>
      <c r="Y22" s="87"/>
      <c r="Z22" s="121"/>
      <c r="AA22" s="87"/>
      <c r="AB22" s="121"/>
      <c r="AC22" s="87"/>
      <c r="AD22" s="121"/>
      <c r="AE22" s="87"/>
      <c r="AF22" s="125"/>
      <c r="AG22" s="127">
        <f t="shared" si="13"/>
        <v>0</v>
      </c>
    </row>
    <row r="23" spans="1:33" ht="12.75" customHeight="1" x14ac:dyDescent="0.25">
      <c r="A23" s="362"/>
      <c r="B23" s="358"/>
      <c r="C23" s="89" t="s">
        <v>148</v>
      </c>
      <c r="D23" s="89" t="s">
        <v>14</v>
      </c>
      <c r="E23" s="90" t="s">
        <v>337</v>
      </c>
      <c r="F23" s="91" t="s">
        <v>668</v>
      </c>
      <c r="G23" s="111" t="s">
        <v>669</v>
      </c>
      <c r="H23" s="87">
        <v>613</v>
      </c>
      <c r="I23" s="87">
        <v>631</v>
      </c>
      <c r="J23" s="121">
        <f t="shared" si="1"/>
        <v>18</v>
      </c>
      <c r="K23" s="87">
        <v>650</v>
      </c>
      <c r="L23" s="121">
        <f t="shared" si="14"/>
        <v>19</v>
      </c>
      <c r="M23" s="87">
        <v>653</v>
      </c>
      <c r="N23" s="121">
        <f t="shared" si="3"/>
        <v>3</v>
      </c>
      <c r="O23" s="87"/>
      <c r="P23" s="121">
        <f t="shared" si="4"/>
        <v>0</v>
      </c>
      <c r="Q23" s="87">
        <v>657</v>
      </c>
      <c r="R23" s="121">
        <f t="shared" si="5"/>
        <v>657</v>
      </c>
      <c r="S23" s="87"/>
      <c r="T23" s="121"/>
      <c r="U23" s="87"/>
      <c r="V23" s="121"/>
      <c r="W23" s="87"/>
      <c r="X23" s="121"/>
      <c r="Y23" s="87"/>
      <c r="Z23" s="121"/>
      <c r="AA23" s="87"/>
      <c r="AB23" s="121"/>
      <c r="AC23" s="87"/>
      <c r="AD23" s="121"/>
      <c r="AE23" s="87"/>
      <c r="AF23" s="125"/>
      <c r="AG23" s="171">
        <f t="shared" si="13"/>
        <v>0</v>
      </c>
    </row>
    <row r="24" spans="1:33" s="47" customFormat="1" ht="12.75" customHeight="1" x14ac:dyDescent="0.25">
      <c r="A24" s="337" t="s">
        <v>255</v>
      </c>
      <c r="B24" s="358"/>
      <c r="C24" s="38" t="s">
        <v>25</v>
      </c>
      <c r="D24" s="39" t="s">
        <v>26</v>
      </c>
      <c r="E24" s="50" t="s">
        <v>348</v>
      </c>
      <c r="F24" s="40" t="s">
        <v>461</v>
      </c>
      <c r="G24" s="110" t="s">
        <v>462</v>
      </c>
      <c r="H24" s="41">
        <v>396218</v>
      </c>
      <c r="I24" s="41">
        <v>396660</v>
      </c>
      <c r="J24" s="67">
        <f t="shared" si="1"/>
        <v>442</v>
      </c>
      <c r="K24" s="41">
        <v>397131</v>
      </c>
      <c r="L24" s="67">
        <f t="shared" si="14"/>
        <v>471</v>
      </c>
      <c r="M24" s="41">
        <v>397608</v>
      </c>
      <c r="N24" s="67">
        <f t="shared" si="3"/>
        <v>477</v>
      </c>
      <c r="O24" s="41">
        <v>398080</v>
      </c>
      <c r="P24" s="67">
        <f t="shared" si="4"/>
        <v>472</v>
      </c>
      <c r="Q24" s="41">
        <v>398532</v>
      </c>
      <c r="R24" s="67">
        <f t="shared" si="5"/>
        <v>452</v>
      </c>
      <c r="S24" s="41"/>
      <c r="T24" s="67"/>
      <c r="U24" s="41"/>
      <c r="V24" s="67"/>
      <c r="W24" s="41"/>
      <c r="X24" s="67"/>
      <c r="Y24" s="41"/>
      <c r="Z24" s="67"/>
      <c r="AA24" s="41"/>
      <c r="AB24" s="67"/>
      <c r="AC24" s="41"/>
      <c r="AD24" s="67"/>
      <c r="AE24" s="41"/>
      <c r="AF24" s="108">
        <f t="shared" si="12"/>
        <v>0</v>
      </c>
      <c r="AG24" s="127">
        <f t="shared" si="0"/>
        <v>2314</v>
      </c>
    </row>
    <row r="25" spans="1:33" s="47" customFormat="1" ht="12.75" customHeight="1" x14ac:dyDescent="0.25">
      <c r="A25" s="338"/>
      <c r="B25" s="358"/>
      <c r="C25" s="38" t="s">
        <v>25</v>
      </c>
      <c r="D25" s="39" t="s">
        <v>26</v>
      </c>
      <c r="E25" s="50" t="s">
        <v>304</v>
      </c>
      <c r="F25" s="40" t="s">
        <v>457</v>
      </c>
      <c r="G25" s="110">
        <v>6531677</v>
      </c>
      <c r="H25" s="41">
        <v>2529</v>
      </c>
      <c r="I25" s="104"/>
      <c r="J25" s="122"/>
      <c r="K25" s="104"/>
      <c r="L25" s="122"/>
      <c r="M25" s="104"/>
      <c r="N25" s="122"/>
      <c r="O25" s="104"/>
      <c r="P25" s="122"/>
      <c r="Q25" s="104"/>
      <c r="R25" s="122"/>
      <c r="S25" s="104"/>
      <c r="T25" s="122"/>
      <c r="U25" s="104"/>
      <c r="V25" s="122"/>
      <c r="W25" s="104"/>
      <c r="X25" s="122"/>
      <c r="Y25" s="104"/>
      <c r="Z25" s="122"/>
      <c r="AA25" s="104"/>
      <c r="AB25" s="122"/>
      <c r="AC25" s="104"/>
      <c r="AD25" s="122"/>
      <c r="AE25" s="104"/>
      <c r="AF25" s="126"/>
      <c r="AG25" s="127">
        <f t="shared" si="0"/>
        <v>0</v>
      </c>
    </row>
    <row r="26" spans="1:33" s="47" customFormat="1" ht="12.75" customHeight="1" x14ac:dyDescent="0.25">
      <c r="A26" s="338"/>
      <c r="B26" s="358"/>
      <c r="C26" s="38" t="s">
        <v>25</v>
      </c>
      <c r="D26" s="39" t="s">
        <v>26</v>
      </c>
      <c r="E26" s="50" t="s">
        <v>342</v>
      </c>
      <c r="F26" s="40" t="s">
        <v>465</v>
      </c>
      <c r="G26" s="112" t="s">
        <v>609</v>
      </c>
      <c r="H26" s="104"/>
      <c r="I26" s="104"/>
      <c r="J26" s="67">
        <v>46.7</v>
      </c>
      <c r="K26" s="104"/>
      <c r="L26" s="67">
        <v>32.299999999999997</v>
      </c>
      <c r="M26" s="104"/>
      <c r="N26" s="67">
        <v>19.899999999999999</v>
      </c>
      <c r="O26" s="104"/>
      <c r="P26" s="67">
        <v>18.399999999999999</v>
      </c>
      <c r="Q26" s="104"/>
      <c r="R26" s="67">
        <v>15.2</v>
      </c>
      <c r="S26" s="104"/>
      <c r="T26" s="67"/>
      <c r="U26" s="104"/>
      <c r="V26" s="67"/>
      <c r="W26" s="104"/>
      <c r="X26" s="67"/>
      <c r="Y26" s="104"/>
      <c r="Z26" s="67"/>
      <c r="AA26" s="104"/>
      <c r="AB26" s="67"/>
      <c r="AC26" s="104"/>
      <c r="AD26" s="67"/>
      <c r="AE26" s="104"/>
      <c r="AF26" s="108"/>
      <c r="AG26" s="171">
        <f t="shared" si="0"/>
        <v>132.5</v>
      </c>
    </row>
    <row r="27" spans="1:33" ht="12.75" customHeight="1" x14ac:dyDescent="0.25">
      <c r="A27" s="339"/>
      <c r="B27" s="358"/>
      <c r="C27" s="38" t="s">
        <v>25</v>
      </c>
      <c r="D27" s="39" t="s">
        <v>26</v>
      </c>
      <c r="E27" s="50" t="s">
        <v>337</v>
      </c>
      <c r="F27" s="40" t="s">
        <v>711</v>
      </c>
      <c r="G27" s="110" t="s">
        <v>719</v>
      </c>
      <c r="H27" s="41">
        <v>1322</v>
      </c>
      <c r="I27" s="41">
        <v>1356</v>
      </c>
      <c r="J27" s="67">
        <f t="shared" si="1"/>
        <v>34</v>
      </c>
      <c r="K27" s="41">
        <v>1423</v>
      </c>
      <c r="L27" s="67">
        <f t="shared" si="2"/>
        <v>67</v>
      </c>
      <c r="M27" s="41">
        <v>1495</v>
      </c>
      <c r="N27" s="67">
        <f t="shared" si="3"/>
        <v>72</v>
      </c>
      <c r="O27" s="41">
        <v>1560</v>
      </c>
      <c r="P27" s="67">
        <f t="shared" si="4"/>
        <v>65</v>
      </c>
      <c r="Q27" s="41">
        <v>1624</v>
      </c>
      <c r="R27" s="67">
        <f t="shared" si="5"/>
        <v>64</v>
      </c>
      <c r="S27" s="41"/>
      <c r="T27" s="67">
        <f t="shared" si="6"/>
        <v>0</v>
      </c>
      <c r="U27" s="41"/>
      <c r="V27" s="67">
        <f t="shared" si="7"/>
        <v>0</v>
      </c>
      <c r="W27" s="41"/>
      <c r="X27" s="67">
        <f t="shared" si="8"/>
        <v>0</v>
      </c>
      <c r="Y27" s="41"/>
      <c r="Z27" s="67">
        <f t="shared" si="9"/>
        <v>0</v>
      </c>
      <c r="AA27" s="41"/>
      <c r="AB27" s="67">
        <f t="shared" si="10"/>
        <v>0</v>
      </c>
      <c r="AC27" s="41"/>
      <c r="AD27" s="67">
        <f t="shared" si="11"/>
        <v>0</v>
      </c>
      <c r="AE27" s="41"/>
      <c r="AF27" s="108">
        <f t="shared" si="12"/>
        <v>0</v>
      </c>
      <c r="AG27" s="127">
        <f t="shared" si="0"/>
        <v>302</v>
      </c>
    </row>
    <row r="28" spans="1:33" ht="12.75" customHeight="1" x14ac:dyDescent="0.25">
      <c r="A28" s="337"/>
      <c r="B28" s="358"/>
      <c r="C28" s="88" t="s">
        <v>40</v>
      </c>
      <c r="D28" s="89" t="s">
        <v>41</v>
      </c>
      <c r="E28" s="90" t="s">
        <v>348</v>
      </c>
      <c r="F28" s="91" t="s">
        <v>549</v>
      </c>
      <c r="G28" s="111" t="s">
        <v>563</v>
      </c>
      <c r="H28" s="87">
        <v>13638</v>
      </c>
      <c r="I28" s="87">
        <v>13924</v>
      </c>
      <c r="J28" s="121">
        <f t="shared" si="1"/>
        <v>286</v>
      </c>
      <c r="K28" s="87">
        <v>14162</v>
      </c>
      <c r="L28" s="121">
        <f t="shared" si="2"/>
        <v>238</v>
      </c>
      <c r="M28" s="87">
        <v>14442</v>
      </c>
      <c r="N28" s="121">
        <f t="shared" si="3"/>
        <v>280</v>
      </c>
      <c r="O28" s="87">
        <v>14689</v>
      </c>
      <c r="P28" s="121">
        <f t="shared" si="4"/>
        <v>247</v>
      </c>
      <c r="Q28" s="87">
        <v>14910</v>
      </c>
      <c r="R28" s="121">
        <f t="shared" si="5"/>
        <v>221</v>
      </c>
      <c r="S28" s="87"/>
      <c r="T28" s="121"/>
      <c r="U28" s="87"/>
      <c r="V28" s="121"/>
      <c r="W28" s="87"/>
      <c r="X28" s="121"/>
      <c r="Y28" s="87"/>
      <c r="Z28" s="121"/>
      <c r="AA28" s="87"/>
      <c r="AB28" s="121"/>
      <c r="AC28" s="87"/>
      <c r="AD28" s="121"/>
      <c r="AE28" s="87"/>
      <c r="AF28" s="125"/>
      <c r="AG28" s="171">
        <f t="shared" ref="AG28:AG31" si="15">IF(AE28&gt;0,AE28-H28,)</f>
        <v>0</v>
      </c>
    </row>
    <row r="29" spans="1:33" ht="12.75" customHeight="1" x14ac:dyDescent="0.25">
      <c r="A29" s="338"/>
      <c r="B29" s="358"/>
      <c r="C29" s="88" t="s">
        <v>40</v>
      </c>
      <c r="D29" s="89" t="s">
        <v>41</v>
      </c>
      <c r="E29" s="90" t="s">
        <v>363</v>
      </c>
      <c r="F29" s="91" t="s">
        <v>549</v>
      </c>
      <c r="G29" s="111" t="s">
        <v>563</v>
      </c>
      <c r="H29" s="87">
        <v>4327</v>
      </c>
      <c r="I29" s="87">
        <v>4414</v>
      </c>
      <c r="J29" s="121">
        <f t="shared" si="1"/>
        <v>87</v>
      </c>
      <c r="K29" s="87">
        <v>4498</v>
      </c>
      <c r="L29" s="121">
        <f t="shared" si="2"/>
        <v>84</v>
      </c>
      <c r="M29" s="87">
        <v>4594</v>
      </c>
      <c r="N29" s="121">
        <f t="shared" si="3"/>
        <v>96</v>
      </c>
      <c r="O29" s="87">
        <v>4681</v>
      </c>
      <c r="P29" s="121">
        <f t="shared" si="4"/>
        <v>87</v>
      </c>
      <c r="Q29" s="87">
        <v>4771</v>
      </c>
      <c r="R29" s="121">
        <f t="shared" si="5"/>
        <v>90</v>
      </c>
      <c r="S29" s="87"/>
      <c r="T29" s="121"/>
      <c r="U29" s="87"/>
      <c r="V29" s="121"/>
      <c r="W29" s="87"/>
      <c r="X29" s="121"/>
      <c r="Y29" s="87"/>
      <c r="Z29" s="121"/>
      <c r="AA29" s="87"/>
      <c r="AB29" s="121"/>
      <c r="AC29" s="87"/>
      <c r="AD29" s="121"/>
      <c r="AE29" s="87"/>
      <c r="AF29" s="125"/>
      <c r="AG29" s="171">
        <f t="shared" si="15"/>
        <v>0</v>
      </c>
    </row>
    <row r="30" spans="1:33" ht="12.75" customHeight="1" x14ac:dyDescent="0.25">
      <c r="A30" s="338"/>
      <c r="B30" s="358"/>
      <c r="C30" s="88" t="s">
        <v>40</v>
      </c>
      <c r="D30" s="89" t="s">
        <v>41</v>
      </c>
      <c r="E30" s="90" t="s">
        <v>304</v>
      </c>
      <c r="F30" s="91" t="s">
        <v>389</v>
      </c>
      <c r="G30" s="111" t="s">
        <v>449</v>
      </c>
      <c r="H30" s="87">
        <v>78530</v>
      </c>
      <c r="I30" s="87">
        <v>79476</v>
      </c>
      <c r="J30" s="121">
        <f t="shared" si="1"/>
        <v>946</v>
      </c>
      <c r="K30" s="87">
        <v>80326</v>
      </c>
      <c r="L30" s="121">
        <f t="shared" si="2"/>
        <v>850</v>
      </c>
      <c r="M30" s="87">
        <v>81084</v>
      </c>
      <c r="N30" s="121">
        <f t="shared" si="3"/>
        <v>758</v>
      </c>
      <c r="O30" s="87">
        <v>81448</v>
      </c>
      <c r="P30" s="121">
        <f t="shared" si="4"/>
        <v>364</v>
      </c>
      <c r="Q30" s="87">
        <v>81583</v>
      </c>
      <c r="R30" s="121">
        <f t="shared" si="5"/>
        <v>135</v>
      </c>
      <c r="S30" s="87"/>
      <c r="T30" s="121"/>
      <c r="U30" s="87"/>
      <c r="V30" s="121"/>
      <c r="W30" s="87"/>
      <c r="X30" s="121"/>
      <c r="Y30" s="87"/>
      <c r="Z30" s="121"/>
      <c r="AA30" s="87"/>
      <c r="AB30" s="121"/>
      <c r="AC30" s="87"/>
      <c r="AD30" s="121"/>
      <c r="AE30" s="87"/>
      <c r="AF30" s="125"/>
      <c r="AG30" s="127">
        <f t="shared" ref="AG30" si="16">J30+L30+N30+P30+R30+T30+V30+X30+Z30+AB30+AD30+AF30</f>
        <v>3053</v>
      </c>
    </row>
    <row r="31" spans="1:33" ht="12.75" customHeight="1" x14ac:dyDescent="0.25">
      <c r="A31" s="339"/>
      <c r="B31" s="358"/>
      <c r="C31" s="88" t="s">
        <v>40</v>
      </c>
      <c r="D31" s="89" t="s">
        <v>41</v>
      </c>
      <c r="E31" s="90" t="s">
        <v>337</v>
      </c>
      <c r="F31" s="91" t="s">
        <v>594</v>
      </c>
      <c r="G31" s="111" t="s">
        <v>701</v>
      </c>
      <c r="H31" s="87">
        <v>38</v>
      </c>
      <c r="I31" s="87">
        <v>42</v>
      </c>
      <c r="J31" s="121">
        <f t="shared" si="1"/>
        <v>4</v>
      </c>
      <c r="K31" s="87">
        <v>44</v>
      </c>
      <c r="L31" s="121">
        <f t="shared" si="2"/>
        <v>2</v>
      </c>
      <c r="M31" s="87">
        <v>49</v>
      </c>
      <c r="N31" s="121">
        <f t="shared" si="3"/>
        <v>5</v>
      </c>
      <c r="O31" s="87"/>
      <c r="P31" s="121">
        <f t="shared" si="4"/>
        <v>0</v>
      </c>
      <c r="Q31" s="87"/>
      <c r="R31" s="121">
        <f t="shared" si="5"/>
        <v>0</v>
      </c>
      <c r="S31" s="87"/>
      <c r="T31" s="121"/>
      <c r="U31" s="87"/>
      <c r="V31" s="121"/>
      <c r="W31" s="87"/>
      <c r="X31" s="121"/>
      <c r="Y31" s="87"/>
      <c r="Z31" s="121"/>
      <c r="AA31" s="87"/>
      <c r="AB31" s="121"/>
      <c r="AC31" s="87"/>
      <c r="AD31" s="121"/>
      <c r="AE31" s="87"/>
      <c r="AF31" s="125"/>
      <c r="AG31" s="171">
        <f t="shared" si="15"/>
        <v>0</v>
      </c>
    </row>
    <row r="32" spans="1:33" s="47" customFormat="1" ht="12.75" customHeight="1" x14ac:dyDescent="0.25">
      <c r="A32" s="330" t="s">
        <v>256</v>
      </c>
      <c r="B32" s="358"/>
      <c r="C32" s="39" t="s">
        <v>188</v>
      </c>
      <c r="D32" s="39" t="s">
        <v>235</v>
      </c>
      <c r="E32" s="128" t="s">
        <v>348</v>
      </c>
      <c r="F32" s="55" t="s">
        <v>338</v>
      </c>
      <c r="G32" s="113" t="s">
        <v>339</v>
      </c>
      <c r="H32" s="177">
        <v>8542</v>
      </c>
      <c r="I32" s="41">
        <v>8676</v>
      </c>
      <c r="J32" s="67">
        <f t="shared" si="1"/>
        <v>134</v>
      </c>
      <c r="K32" s="41">
        <v>8776</v>
      </c>
      <c r="L32" s="67">
        <f t="shared" si="2"/>
        <v>100</v>
      </c>
      <c r="M32" s="41">
        <v>8864</v>
      </c>
      <c r="N32" s="67">
        <f t="shared" si="3"/>
        <v>88</v>
      </c>
      <c r="O32" s="41">
        <v>8950</v>
      </c>
      <c r="P32" s="67">
        <f t="shared" si="4"/>
        <v>86</v>
      </c>
      <c r="Q32" s="41">
        <v>9034</v>
      </c>
      <c r="R32" s="67">
        <f t="shared" si="5"/>
        <v>84</v>
      </c>
      <c r="S32" s="41"/>
      <c r="T32" s="67">
        <f t="shared" si="6"/>
        <v>0</v>
      </c>
      <c r="U32" s="41"/>
      <c r="V32" s="67">
        <f t="shared" si="7"/>
        <v>0</v>
      </c>
      <c r="W32" s="41"/>
      <c r="X32" s="67">
        <f t="shared" si="8"/>
        <v>0</v>
      </c>
      <c r="Y32" s="41"/>
      <c r="Z32" s="67">
        <f t="shared" si="9"/>
        <v>0</v>
      </c>
      <c r="AA32" s="41"/>
      <c r="AB32" s="67">
        <f t="shared" si="10"/>
        <v>0</v>
      </c>
      <c r="AC32" s="41"/>
      <c r="AD32" s="67">
        <f t="shared" si="11"/>
        <v>0</v>
      </c>
      <c r="AE32" s="41"/>
      <c r="AF32" s="108">
        <f t="shared" si="12"/>
        <v>0</v>
      </c>
      <c r="AG32" s="127">
        <f t="shared" si="0"/>
        <v>492</v>
      </c>
    </row>
    <row r="33" spans="1:33" s="47" customFormat="1" ht="12.75" customHeight="1" x14ac:dyDescent="0.25">
      <c r="A33" s="331"/>
      <c r="B33" s="358"/>
      <c r="C33" s="39" t="s">
        <v>188</v>
      </c>
      <c r="D33" s="39" t="s">
        <v>235</v>
      </c>
      <c r="E33" s="128" t="s">
        <v>348</v>
      </c>
      <c r="F33" s="55" t="s">
        <v>340</v>
      </c>
      <c r="G33" s="114" t="s">
        <v>341</v>
      </c>
      <c r="H33" s="177">
        <v>6678</v>
      </c>
      <c r="I33" s="41">
        <v>7098</v>
      </c>
      <c r="J33" s="67">
        <f t="shared" si="1"/>
        <v>420</v>
      </c>
      <c r="K33" s="41">
        <v>7476</v>
      </c>
      <c r="L33" s="67">
        <f t="shared" si="2"/>
        <v>378</v>
      </c>
      <c r="M33" s="41">
        <v>7871</v>
      </c>
      <c r="N33" s="67">
        <f t="shared" si="3"/>
        <v>395</v>
      </c>
      <c r="O33" s="41">
        <v>8182</v>
      </c>
      <c r="P33" s="67">
        <f t="shared" si="4"/>
        <v>311</v>
      </c>
      <c r="Q33" s="41">
        <v>8431</v>
      </c>
      <c r="R33" s="67">
        <f t="shared" si="5"/>
        <v>249</v>
      </c>
      <c r="S33" s="41"/>
      <c r="T33" s="67">
        <f t="shared" si="6"/>
        <v>0</v>
      </c>
      <c r="U33" s="41"/>
      <c r="V33" s="67">
        <f t="shared" si="7"/>
        <v>0</v>
      </c>
      <c r="W33" s="41"/>
      <c r="X33" s="67">
        <f t="shared" si="8"/>
        <v>0</v>
      </c>
      <c r="Y33" s="41"/>
      <c r="Z33" s="67">
        <f t="shared" si="9"/>
        <v>0</v>
      </c>
      <c r="AA33" s="41"/>
      <c r="AB33" s="67">
        <f t="shared" si="10"/>
        <v>0</v>
      </c>
      <c r="AC33" s="41"/>
      <c r="AD33" s="67">
        <f t="shared" si="11"/>
        <v>0</v>
      </c>
      <c r="AE33" s="41"/>
      <c r="AF33" s="108">
        <f t="shared" si="12"/>
        <v>0</v>
      </c>
      <c r="AG33" s="127">
        <f t="shared" si="0"/>
        <v>1753</v>
      </c>
    </row>
    <row r="34" spans="1:33" s="47" customFormat="1" ht="12.75" customHeight="1" x14ac:dyDescent="0.25">
      <c r="A34" s="331"/>
      <c r="B34" s="358"/>
      <c r="C34" s="39" t="s">
        <v>188</v>
      </c>
      <c r="D34" s="39" t="s">
        <v>235</v>
      </c>
      <c r="E34" s="128" t="s">
        <v>304</v>
      </c>
      <c r="F34" s="40" t="s">
        <v>345</v>
      </c>
      <c r="G34" s="110" t="s">
        <v>695</v>
      </c>
      <c r="H34" s="41">
        <v>31429</v>
      </c>
      <c r="I34" s="41">
        <v>1</v>
      </c>
      <c r="J34" s="67">
        <f>32163-H34-1+I34</f>
        <v>734</v>
      </c>
      <c r="K34" s="41">
        <v>901</v>
      </c>
      <c r="L34" s="67">
        <f t="shared" si="2"/>
        <v>900</v>
      </c>
      <c r="M34" s="41">
        <v>1401</v>
      </c>
      <c r="N34" s="67">
        <f t="shared" si="3"/>
        <v>500</v>
      </c>
      <c r="O34" s="41">
        <v>1600</v>
      </c>
      <c r="P34" s="67">
        <f t="shared" si="4"/>
        <v>199</v>
      </c>
      <c r="Q34" s="41">
        <v>1740</v>
      </c>
      <c r="R34" s="67">
        <f t="shared" si="5"/>
        <v>140</v>
      </c>
      <c r="S34" s="41"/>
      <c r="T34" s="67">
        <f t="shared" si="6"/>
        <v>0</v>
      </c>
      <c r="U34" s="41"/>
      <c r="V34" s="67">
        <f t="shared" si="7"/>
        <v>0</v>
      </c>
      <c r="W34" s="41"/>
      <c r="X34" s="67">
        <f t="shared" si="8"/>
        <v>0</v>
      </c>
      <c r="Y34" s="41"/>
      <c r="Z34" s="67">
        <f t="shared" si="9"/>
        <v>0</v>
      </c>
      <c r="AA34" s="41"/>
      <c r="AB34" s="67">
        <f t="shared" si="10"/>
        <v>0</v>
      </c>
      <c r="AC34" s="41"/>
      <c r="AD34" s="67">
        <f t="shared" si="11"/>
        <v>0</v>
      </c>
      <c r="AE34" s="41"/>
      <c r="AF34" s="108">
        <f t="shared" si="12"/>
        <v>0</v>
      </c>
      <c r="AG34" s="127">
        <f t="shared" si="0"/>
        <v>2473</v>
      </c>
    </row>
    <row r="35" spans="1:33" s="47" customFormat="1" ht="12.75" customHeight="1" x14ac:dyDescent="0.25">
      <c r="A35" s="331"/>
      <c r="B35" s="358"/>
      <c r="C35" s="39" t="s">
        <v>188</v>
      </c>
      <c r="D35" s="39" t="s">
        <v>235</v>
      </c>
      <c r="E35" s="128" t="s">
        <v>304</v>
      </c>
      <c r="F35" s="40" t="s">
        <v>346</v>
      </c>
      <c r="G35" s="110" t="s">
        <v>347</v>
      </c>
      <c r="H35" s="41">
        <v>16710</v>
      </c>
      <c r="I35" s="41">
        <v>17024</v>
      </c>
      <c r="J35" s="67">
        <f t="shared" si="1"/>
        <v>314</v>
      </c>
      <c r="K35" s="41">
        <v>17312</v>
      </c>
      <c r="L35" s="67">
        <f t="shared" si="2"/>
        <v>288</v>
      </c>
      <c r="M35" s="41">
        <v>17500</v>
      </c>
      <c r="N35" s="67">
        <f t="shared" si="3"/>
        <v>188</v>
      </c>
      <c r="O35" s="41">
        <v>17564</v>
      </c>
      <c r="P35" s="67">
        <f t="shared" si="4"/>
        <v>64</v>
      </c>
      <c r="Q35" s="41">
        <v>17602</v>
      </c>
      <c r="R35" s="67">
        <f t="shared" si="5"/>
        <v>38</v>
      </c>
      <c r="S35" s="41"/>
      <c r="T35" s="67">
        <f t="shared" si="6"/>
        <v>0</v>
      </c>
      <c r="U35" s="41"/>
      <c r="V35" s="67">
        <f t="shared" si="7"/>
        <v>0</v>
      </c>
      <c r="W35" s="41"/>
      <c r="X35" s="67">
        <f t="shared" si="8"/>
        <v>0</v>
      </c>
      <c r="Y35" s="41"/>
      <c r="Z35" s="67">
        <f t="shared" si="9"/>
        <v>0</v>
      </c>
      <c r="AA35" s="41"/>
      <c r="AB35" s="67">
        <f t="shared" si="10"/>
        <v>0</v>
      </c>
      <c r="AC35" s="41"/>
      <c r="AD35" s="67">
        <f t="shared" si="11"/>
        <v>0</v>
      </c>
      <c r="AE35" s="41"/>
      <c r="AF35" s="108">
        <f t="shared" si="12"/>
        <v>0</v>
      </c>
      <c r="AG35" s="127">
        <f t="shared" si="0"/>
        <v>892</v>
      </c>
    </row>
    <row r="36" spans="1:33" ht="12.75" customHeight="1" x14ac:dyDescent="0.25">
      <c r="A36" s="333"/>
      <c r="B36" s="358"/>
      <c r="C36" s="39" t="s">
        <v>188</v>
      </c>
      <c r="D36" s="39" t="s">
        <v>235</v>
      </c>
      <c r="E36" s="128" t="s">
        <v>337</v>
      </c>
      <c r="F36" s="40">
        <v>606014428</v>
      </c>
      <c r="G36" s="110" t="s">
        <v>693</v>
      </c>
      <c r="H36" s="41">
        <v>1244</v>
      </c>
      <c r="I36" s="41">
        <v>1261</v>
      </c>
      <c r="J36" s="67">
        <f t="shared" si="1"/>
        <v>17</v>
      </c>
      <c r="K36" s="41">
        <v>1278</v>
      </c>
      <c r="L36" s="67">
        <f t="shared" si="2"/>
        <v>17</v>
      </c>
      <c r="M36" s="41">
        <v>1301</v>
      </c>
      <c r="N36" s="67">
        <f t="shared" si="3"/>
        <v>23</v>
      </c>
      <c r="O36" s="41">
        <v>1322</v>
      </c>
      <c r="P36" s="67">
        <f t="shared" si="4"/>
        <v>21</v>
      </c>
      <c r="Q36" s="41">
        <v>1343</v>
      </c>
      <c r="R36" s="67">
        <f t="shared" si="5"/>
        <v>21</v>
      </c>
      <c r="S36" s="41"/>
      <c r="T36" s="67">
        <f t="shared" si="6"/>
        <v>0</v>
      </c>
      <c r="U36" s="41"/>
      <c r="V36" s="67">
        <f t="shared" si="7"/>
        <v>0</v>
      </c>
      <c r="W36" s="41"/>
      <c r="X36" s="67">
        <f t="shared" si="8"/>
        <v>0</v>
      </c>
      <c r="Y36" s="41"/>
      <c r="Z36" s="67">
        <f t="shared" si="9"/>
        <v>0</v>
      </c>
      <c r="AA36" s="41"/>
      <c r="AB36" s="67">
        <f t="shared" si="10"/>
        <v>0</v>
      </c>
      <c r="AC36" s="41"/>
      <c r="AD36" s="67">
        <f t="shared" si="11"/>
        <v>0</v>
      </c>
      <c r="AE36" s="41"/>
      <c r="AF36" s="108">
        <f t="shared" si="12"/>
        <v>0</v>
      </c>
      <c r="AG36" s="127">
        <f t="shared" si="0"/>
        <v>99</v>
      </c>
    </row>
    <row r="37" spans="1:33" ht="12.75" customHeight="1" x14ac:dyDescent="0.25">
      <c r="A37" s="103"/>
      <c r="B37" s="358"/>
      <c r="C37" s="88" t="s">
        <v>181</v>
      </c>
      <c r="D37" s="89" t="s">
        <v>56</v>
      </c>
      <c r="E37" s="90" t="s">
        <v>348</v>
      </c>
      <c r="F37" s="91"/>
      <c r="G37" s="111"/>
      <c r="H37" s="87"/>
      <c r="I37" s="87"/>
      <c r="J37" s="121"/>
      <c r="K37" s="87"/>
      <c r="L37" s="121"/>
      <c r="M37" s="87"/>
      <c r="N37" s="121"/>
      <c r="O37" s="87"/>
      <c r="P37" s="121"/>
      <c r="Q37" s="87"/>
      <c r="R37" s="121"/>
      <c r="S37" s="87"/>
      <c r="T37" s="121"/>
      <c r="U37" s="87"/>
      <c r="V37" s="121"/>
      <c r="W37" s="87"/>
      <c r="X37" s="121"/>
      <c r="Y37" s="87"/>
      <c r="Z37" s="121"/>
      <c r="AA37" s="87"/>
      <c r="AB37" s="121"/>
      <c r="AC37" s="87"/>
      <c r="AD37" s="121"/>
      <c r="AE37" s="87"/>
      <c r="AF37" s="125"/>
      <c r="AG37" s="171">
        <f t="shared" ref="AG37:AG41" si="17">IF(AE37&gt;0,AE37-H37,)</f>
        <v>0</v>
      </c>
    </row>
    <row r="38" spans="1:33" ht="12.75" customHeight="1" x14ac:dyDescent="0.25">
      <c r="A38" s="340"/>
      <c r="B38" s="358"/>
      <c r="C38" s="88" t="s">
        <v>180</v>
      </c>
      <c r="D38" s="89" t="s">
        <v>57</v>
      </c>
      <c r="E38" s="90" t="s">
        <v>348</v>
      </c>
      <c r="F38" s="91" t="s">
        <v>590</v>
      </c>
      <c r="G38" s="111" t="s">
        <v>589</v>
      </c>
      <c r="H38" s="87">
        <v>106401</v>
      </c>
      <c r="I38" s="87">
        <v>106404</v>
      </c>
      <c r="J38" s="121">
        <f t="shared" si="1"/>
        <v>3</v>
      </c>
      <c r="K38" s="87">
        <v>106411</v>
      </c>
      <c r="L38" s="121">
        <f t="shared" si="2"/>
        <v>7</v>
      </c>
      <c r="M38" s="87">
        <v>106415</v>
      </c>
      <c r="N38" s="121">
        <f t="shared" si="3"/>
        <v>4</v>
      </c>
      <c r="O38" s="87">
        <v>106420</v>
      </c>
      <c r="P38" s="121">
        <f t="shared" si="4"/>
        <v>5</v>
      </c>
      <c r="Q38" s="87">
        <v>106425</v>
      </c>
      <c r="R38" s="121">
        <f t="shared" si="5"/>
        <v>5</v>
      </c>
      <c r="S38" s="87"/>
      <c r="T38" s="121"/>
      <c r="U38" s="87"/>
      <c r="V38" s="121"/>
      <c r="W38" s="87"/>
      <c r="X38" s="121"/>
      <c r="Y38" s="87"/>
      <c r="Z38" s="121"/>
      <c r="AA38" s="87"/>
      <c r="AB38" s="121"/>
      <c r="AC38" s="87"/>
      <c r="AD38" s="121"/>
      <c r="AE38" s="87"/>
      <c r="AF38" s="125"/>
      <c r="AG38" s="171">
        <f t="shared" si="17"/>
        <v>0</v>
      </c>
    </row>
    <row r="39" spans="1:33" ht="12.75" customHeight="1" x14ac:dyDescent="0.25">
      <c r="A39" s="363"/>
      <c r="B39" s="358"/>
      <c r="C39" s="88" t="s">
        <v>180</v>
      </c>
      <c r="D39" s="89" t="s">
        <v>57</v>
      </c>
      <c r="E39" s="90" t="s">
        <v>363</v>
      </c>
      <c r="F39" s="91" t="s">
        <v>590</v>
      </c>
      <c r="G39" s="111" t="s">
        <v>589</v>
      </c>
      <c r="H39" s="87">
        <v>28726</v>
      </c>
      <c r="I39" s="87">
        <v>28728</v>
      </c>
      <c r="J39" s="121">
        <f t="shared" si="1"/>
        <v>2</v>
      </c>
      <c r="K39" s="87">
        <v>28729</v>
      </c>
      <c r="L39" s="121">
        <f t="shared" si="2"/>
        <v>1</v>
      </c>
      <c r="M39" s="87">
        <v>28730</v>
      </c>
      <c r="N39" s="121">
        <f t="shared" si="3"/>
        <v>1</v>
      </c>
      <c r="O39" s="87">
        <v>28730</v>
      </c>
      <c r="P39" s="121">
        <f t="shared" si="4"/>
        <v>0</v>
      </c>
      <c r="Q39" s="87">
        <v>28730</v>
      </c>
      <c r="R39" s="121">
        <f t="shared" si="5"/>
        <v>0</v>
      </c>
      <c r="S39" s="87"/>
      <c r="T39" s="121"/>
      <c r="U39" s="87"/>
      <c r="V39" s="121"/>
      <c r="W39" s="87"/>
      <c r="X39" s="121"/>
      <c r="Y39" s="87"/>
      <c r="Z39" s="121"/>
      <c r="AA39" s="87"/>
      <c r="AB39" s="121"/>
      <c r="AC39" s="87"/>
      <c r="AD39" s="121"/>
      <c r="AE39" s="87"/>
      <c r="AF39" s="125"/>
      <c r="AG39" s="171">
        <f t="shared" si="17"/>
        <v>0</v>
      </c>
    </row>
    <row r="40" spans="1:33" ht="12.75" customHeight="1" x14ac:dyDescent="0.25">
      <c r="A40" s="341"/>
      <c r="B40" s="358"/>
      <c r="C40" s="88" t="s">
        <v>180</v>
      </c>
      <c r="D40" s="89" t="s">
        <v>57</v>
      </c>
      <c r="E40" s="90" t="s">
        <v>337</v>
      </c>
      <c r="F40" s="91" t="s">
        <v>623</v>
      </c>
      <c r="G40" s="111" t="s">
        <v>624</v>
      </c>
      <c r="H40" s="87">
        <v>358</v>
      </c>
      <c r="I40" s="87">
        <v>358</v>
      </c>
      <c r="J40" s="121">
        <f t="shared" si="1"/>
        <v>0</v>
      </c>
      <c r="K40" s="87">
        <v>358</v>
      </c>
      <c r="L40" s="121">
        <f t="shared" si="2"/>
        <v>0</v>
      </c>
      <c r="M40" s="87">
        <v>358</v>
      </c>
      <c r="N40" s="121">
        <f t="shared" si="3"/>
        <v>0</v>
      </c>
      <c r="O40" s="87">
        <v>358</v>
      </c>
      <c r="P40" s="121">
        <f t="shared" si="4"/>
        <v>0</v>
      </c>
      <c r="Q40" s="87">
        <v>358</v>
      </c>
      <c r="R40" s="121">
        <f t="shared" si="5"/>
        <v>0</v>
      </c>
      <c r="S40" s="87"/>
      <c r="T40" s="121"/>
      <c r="U40" s="87"/>
      <c r="V40" s="121"/>
      <c r="W40" s="87"/>
      <c r="X40" s="121"/>
      <c r="Y40" s="87"/>
      <c r="Z40" s="121"/>
      <c r="AA40" s="87"/>
      <c r="AB40" s="121"/>
      <c r="AC40" s="87"/>
      <c r="AD40" s="121"/>
      <c r="AE40" s="87"/>
      <c r="AF40" s="125"/>
      <c r="AG40" s="171">
        <f t="shared" si="17"/>
        <v>0</v>
      </c>
    </row>
    <row r="41" spans="1:33" ht="12.75" customHeight="1" x14ac:dyDescent="0.25">
      <c r="A41" s="130"/>
      <c r="B41" s="358"/>
      <c r="C41" s="89" t="s">
        <v>31</v>
      </c>
      <c r="D41" s="89" t="s">
        <v>245</v>
      </c>
      <c r="E41" s="90" t="s">
        <v>304</v>
      </c>
      <c r="F41" s="91"/>
      <c r="G41" s="111"/>
      <c r="H41" s="87"/>
      <c r="I41" s="87"/>
      <c r="J41" s="121"/>
      <c r="K41" s="87"/>
      <c r="L41" s="121"/>
      <c r="M41" s="87"/>
      <c r="N41" s="121"/>
      <c r="O41" s="87"/>
      <c r="P41" s="121"/>
      <c r="Q41" s="87"/>
      <c r="R41" s="121"/>
      <c r="S41" s="87"/>
      <c r="T41" s="121"/>
      <c r="U41" s="87"/>
      <c r="V41" s="121"/>
      <c r="W41" s="87"/>
      <c r="X41" s="121"/>
      <c r="Y41" s="87"/>
      <c r="Z41" s="121"/>
      <c r="AA41" s="87"/>
      <c r="AB41" s="121"/>
      <c r="AC41" s="87"/>
      <c r="AD41" s="121"/>
      <c r="AE41" s="87"/>
      <c r="AF41" s="125"/>
      <c r="AG41" s="171">
        <f t="shared" si="17"/>
        <v>0</v>
      </c>
    </row>
    <row r="42" spans="1:33" s="47" customFormat="1" ht="12.75" customHeight="1" x14ac:dyDescent="0.25">
      <c r="A42" s="337" t="s">
        <v>257</v>
      </c>
      <c r="B42" s="358"/>
      <c r="C42" s="334" t="s">
        <v>242</v>
      </c>
      <c r="D42" s="39" t="s">
        <v>488</v>
      </c>
      <c r="E42" s="50" t="s">
        <v>734</v>
      </c>
      <c r="F42" s="172" t="s">
        <v>527</v>
      </c>
      <c r="G42" s="110" t="s">
        <v>552</v>
      </c>
      <c r="H42" s="41">
        <v>11702</v>
      </c>
      <c r="I42" s="41">
        <v>11788</v>
      </c>
      <c r="J42" s="67">
        <f t="shared" si="1"/>
        <v>86</v>
      </c>
      <c r="K42" s="41">
        <v>11872</v>
      </c>
      <c r="L42" s="67">
        <f t="shared" si="2"/>
        <v>84</v>
      </c>
      <c r="M42" s="41">
        <v>11965</v>
      </c>
      <c r="N42" s="67">
        <f t="shared" si="3"/>
        <v>93</v>
      </c>
      <c r="O42" s="41">
        <v>12054</v>
      </c>
      <c r="P42" s="67">
        <f t="shared" si="4"/>
        <v>89</v>
      </c>
      <c r="Q42" s="41">
        <v>12144</v>
      </c>
      <c r="R42" s="67">
        <f t="shared" si="5"/>
        <v>90</v>
      </c>
      <c r="S42" s="41"/>
      <c r="T42" s="67">
        <f t="shared" si="6"/>
        <v>0</v>
      </c>
      <c r="U42" s="41"/>
      <c r="V42" s="67">
        <f t="shared" si="7"/>
        <v>0</v>
      </c>
      <c r="W42" s="41"/>
      <c r="X42" s="67">
        <f t="shared" si="8"/>
        <v>0</v>
      </c>
      <c r="Y42" s="41"/>
      <c r="Z42" s="67">
        <f t="shared" si="9"/>
        <v>0</v>
      </c>
      <c r="AA42" s="41"/>
      <c r="AB42" s="67">
        <f t="shared" si="10"/>
        <v>0</v>
      </c>
      <c r="AC42" s="41"/>
      <c r="AD42" s="67">
        <f t="shared" si="11"/>
        <v>0</v>
      </c>
      <c r="AE42" s="41"/>
      <c r="AF42" s="108">
        <f t="shared" si="12"/>
        <v>0</v>
      </c>
      <c r="AG42" s="127">
        <f t="shared" si="0"/>
        <v>442</v>
      </c>
    </row>
    <row r="43" spans="1:33" s="47" customFormat="1" ht="12.75" customHeight="1" x14ac:dyDescent="0.25">
      <c r="A43" s="338"/>
      <c r="B43" s="358"/>
      <c r="C43" s="335"/>
      <c r="D43" s="39" t="s">
        <v>489</v>
      </c>
      <c r="E43" s="50" t="s">
        <v>735</v>
      </c>
      <c r="F43" s="40" t="s">
        <v>528</v>
      </c>
      <c r="G43" s="110" t="s">
        <v>560</v>
      </c>
      <c r="H43" s="41">
        <v>217969</v>
      </c>
      <c r="I43" s="41">
        <v>220031</v>
      </c>
      <c r="J43" s="67">
        <f t="shared" si="1"/>
        <v>2062</v>
      </c>
      <c r="K43" s="41">
        <v>221922</v>
      </c>
      <c r="L43" s="67">
        <f t="shared" si="2"/>
        <v>1891</v>
      </c>
      <c r="M43" s="41">
        <v>223837</v>
      </c>
      <c r="N43" s="67">
        <f t="shared" si="3"/>
        <v>1915</v>
      </c>
      <c r="O43" s="41">
        <v>225490</v>
      </c>
      <c r="P43" s="67">
        <f t="shared" si="4"/>
        <v>1653</v>
      </c>
      <c r="Q43" s="41">
        <v>226941</v>
      </c>
      <c r="R43" s="67">
        <f t="shared" si="5"/>
        <v>1451</v>
      </c>
      <c r="S43" s="41"/>
      <c r="T43" s="67">
        <f t="shared" si="6"/>
        <v>0</v>
      </c>
      <c r="U43" s="41"/>
      <c r="V43" s="67">
        <f t="shared" si="7"/>
        <v>0</v>
      </c>
      <c r="W43" s="41"/>
      <c r="X43" s="67">
        <f t="shared" si="8"/>
        <v>0</v>
      </c>
      <c r="Y43" s="41"/>
      <c r="Z43" s="67">
        <f t="shared" si="9"/>
        <v>0</v>
      </c>
      <c r="AA43" s="41"/>
      <c r="AB43" s="67">
        <f t="shared" si="10"/>
        <v>0</v>
      </c>
      <c r="AC43" s="41"/>
      <c r="AD43" s="67">
        <f t="shared" si="11"/>
        <v>0</v>
      </c>
      <c r="AE43" s="41"/>
      <c r="AF43" s="108">
        <f t="shared" si="12"/>
        <v>0</v>
      </c>
      <c r="AG43" s="127">
        <f t="shared" si="0"/>
        <v>8972</v>
      </c>
    </row>
    <row r="44" spans="1:33" s="47" customFormat="1" ht="12.75" customHeight="1" x14ac:dyDescent="0.25">
      <c r="A44" s="338"/>
      <c r="B44" s="358"/>
      <c r="C44" s="335"/>
      <c r="D44" s="39" t="s">
        <v>490</v>
      </c>
      <c r="E44" s="50" t="s">
        <v>736</v>
      </c>
      <c r="F44" s="40" t="s">
        <v>529</v>
      </c>
      <c r="G44" s="110" t="s">
        <v>574</v>
      </c>
      <c r="H44" s="41">
        <v>199138</v>
      </c>
      <c r="I44" s="41">
        <v>200049</v>
      </c>
      <c r="J44" s="67">
        <f t="shared" si="1"/>
        <v>911</v>
      </c>
      <c r="K44" s="41">
        <v>200801</v>
      </c>
      <c r="L44" s="67">
        <f t="shared" si="2"/>
        <v>752</v>
      </c>
      <c r="M44" s="41">
        <v>201516</v>
      </c>
      <c r="N44" s="67">
        <f t="shared" si="3"/>
        <v>715</v>
      </c>
      <c r="O44" s="41">
        <v>202109</v>
      </c>
      <c r="P44" s="67">
        <f t="shared" si="4"/>
        <v>593</v>
      </c>
      <c r="Q44" s="41">
        <v>202613</v>
      </c>
      <c r="R44" s="67">
        <f t="shared" si="5"/>
        <v>504</v>
      </c>
      <c r="S44" s="41"/>
      <c r="T44" s="67">
        <f t="shared" si="6"/>
        <v>0</v>
      </c>
      <c r="U44" s="41"/>
      <c r="V44" s="67">
        <f t="shared" si="7"/>
        <v>0</v>
      </c>
      <c r="W44" s="41"/>
      <c r="X44" s="67">
        <f t="shared" si="8"/>
        <v>0</v>
      </c>
      <c r="Y44" s="41"/>
      <c r="Z44" s="67">
        <f t="shared" si="9"/>
        <v>0</v>
      </c>
      <c r="AA44" s="41"/>
      <c r="AB44" s="67">
        <f t="shared" si="10"/>
        <v>0</v>
      </c>
      <c r="AC44" s="41"/>
      <c r="AD44" s="67">
        <f t="shared" si="11"/>
        <v>0</v>
      </c>
      <c r="AE44" s="41"/>
      <c r="AF44" s="108">
        <f t="shared" si="12"/>
        <v>0</v>
      </c>
      <c r="AG44" s="127">
        <f t="shared" si="0"/>
        <v>3475</v>
      </c>
    </row>
    <row r="45" spans="1:33" s="47" customFormat="1" ht="12.75" customHeight="1" x14ac:dyDescent="0.25">
      <c r="A45" s="338"/>
      <c r="B45" s="358"/>
      <c r="C45" s="335"/>
      <c r="D45" s="39" t="s">
        <v>483</v>
      </c>
      <c r="E45" s="50" t="s">
        <v>737</v>
      </c>
      <c r="F45" s="40" t="s">
        <v>530</v>
      </c>
      <c r="G45" s="110" t="s">
        <v>577</v>
      </c>
      <c r="H45" s="41">
        <v>15226</v>
      </c>
      <c r="I45" s="41">
        <v>15248</v>
      </c>
      <c r="J45" s="67">
        <f t="shared" si="1"/>
        <v>22</v>
      </c>
      <c r="K45" s="41">
        <v>15252</v>
      </c>
      <c r="L45" s="67">
        <f t="shared" si="2"/>
        <v>4</v>
      </c>
      <c r="M45" s="41">
        <v>15284</v>
      </c>
      <c r="N45" s="67">
        <f t="shared" si="3"/>
        <v>32</v>
      </c>
      <c r="O45" s="41">
        <v>15305</v>
      </c>
      <c r="P45" s="67">
        <f t="shared" si="4"/>
        <v>21</v>
      </c>
      <c r="Q45" s="41">
        <v>15326</v>
      </c>
      <c r="R45" s="67">
        <f t="shared" si="5"/>
        <v>21</v>
      </c>
      <c r="S45" s="41"/>
      <c r="T45" s="67">
        <f t="shared" si="6"/>
        <v>0</v>
      </c>
      <c r="U45" s="41"/>
      <c r="V45" s="67">
        <f t="shared" si="7"/>
        <v>0</v>
      </c>
      <c r="W45" s="41"/>
      <c r="X45" s="67">
        <f t="shared" si="8"/>
        <v>0</v>
      </c>
      <c r="Y45" s="41"/>
      <c r="Z45" s="67">
        <f t="shared" si="9"/>
        <v>0</v>
      </c>
      <c r="AA45" s="41"/>
      <c r="AB45" s="67">
        <f t="shared" si="10"/>
        <v>0</v>
      </c>
      <c r="AC45" s="41"/>
      <c r="AD45" s="67">
        <f t="shared" si="11"/>
        <v>0</v>
      </c>
      <c r="AE45" s="41"/>
      <c r="AF45" s="108">
        <f t="shared" si="12"/>
        <v>0</v>
      </c>
      <c r="AG45" s="127">
        <f t="shared" si="0"/>
        <v>100</v>
      </c>
    </row>
    <row r="46" spans="1:33" s="47" customFormat="1" ht="12.75" customHeight="1" x14ac:dyDescent="0.25">
      <c r="A46" s="338"/>
      <c r="B46" s="358"/>
      <c r="C46" s="335"/>
      <c r="D46" s="39" t="s">
        <v>478</v>
      </c>
      <c r="E46" s="50" t="s">
        <v>738</v>
      </c>
      <c r="F46" s="40" t="s">
        <v>479</v>
      </c>
      <c r="G46" s="110" t="s">
        <v>583</v>
      </c>
      <c r="H46" s="41">
        <v>624</v>
      </c>
      <c r="I46" s="41">
        <v>675</v>
      </c>
      <c r="J46" s="67">
        <f t="shared" si="1"/>
        <v>51</v>
      </c>
      <c r="K46" s="41">
        <v>719</v>
      </c>
      <c r="L46" s="67">
        <f t="shared" si="2"/>
        <v>44</v>
      </c>
      <c r="M46" s="41">
        <v>760</v>
      </c>
      <c r="N46" s="67">
        <f t="shared" si="3"/>
        <v>41</v>
      </c>
      <c r="O46" s="41">
        <v>793</v>
      </c>
      <c r="P46" s="67">
        <f t="shared" si="4"/>
        <v>33</v>
      </c>
      <c r="Q46" s="41">
        <v>821</v>
      </c>
      <c r="R46" s="67">
        <f t="shared" si="5"/>
        <v>28</v>
      </c>
      <c r="S46" s="41"/>
      <c r="T46" s="67">
        <f t="shared" si="6"/>
        <v>0</v>
      </c>
      <c r="U46" s="41"/>
      <c r="V46" s="67">
        <f t="shared" si="7"/>
        <v>0</v>
      </c>
      <c r="W46" s="41"/>
      <c r="X46" s="67">
        <f t="shared" si="8"/>
        <v>0</v>
      </c>
      <c r="Y46" s="41"/>
      <c r="Z46" s="67">
        <f t="shared" si="9"/>
        <v>0</v>
      </c>
      <c r="AA46" s="41"/>
      <c r="AB46" s="67">
        <f t="shared" si="10"/>
        <v>0</v>
      </c>
      <c r="AC46" s="41"/>
      <c r="AD46" s="67">
        <f t="shared" si="11"/>
        <v>0</v>
      </c>
      <c r="AE46" s="41"/>
      <c r="AF46" s="108">
        <f t="shared" si="12"/>
        <v>0</v>
      </c>
      <c r="AG46" s="127">
        <f t="shared" si="0"/>
        <v>197</v>
      </c>
    </row>
    <row r="47" spans="1:33" s="47" customFormat="1" ht="12.75" customHeight="1" x14ac:dyDescent="0.25">
      <c r="A47" s="338"/>
      <c r="B47" s="358"/>
      <c r="C47" s="335"/>
      <c r="D47" s="39" t="s">
        <v>480</v>
      </c>
      <c r="E47" s="50" t="s">
        <v>739</v>
      </c>
      <c r="F47" s="40" t="s">
        <v>481</v>
      </c>
      <c r="G47" s="110" t="s">
        <v>584</v>
      </c>
      <c r="H47" s="41">
        <v>1722</v>
      </c>
      <c r="I47" s="41">
        <v>1931</v>
      </c>
      <c r="J47" s="67">
        <f t="shared" si="1"/>
        <v>209</v>
      </c>
      <c r="K47" s="41">
        <v>2109</v>
      </c>
      <c r="L47" s="67">
        <f t="shared" si="2"/>
        <v>178</v>
      </c>
      <c r="M47" s="41">
        <v>2284</v>
      </c>
      <c r="N47" s="67">
        <f t="shared" si="3"/>
        <v>175</v>
      </c>
      <c r="O47" s="41">
        <v>2432</v>
      </c>
      <c r="P47" s="67">
        <f t="shared" si="4"/>
        <v>148</v>
      </c>
      <c r="Q47" s="41">
        <v>2559</v>
      </c>
      <c r="R47" s="67">
        <f t="shared" si="5"/>
        <v>127</v>
      </c>
      <c r="S47" s="41"/>
      <c r="T47" s="67">
        <f t="shared" si="6"/>
        <v>0</v>
      </c>
      <c r="U47" s="41"/>
      <c r="V47" s="67">
        <f t="shared" si="7"/>
        <v>0</v>
      </c>
      <c r="W47" s="41"/>
      <c r="X47" s="67">
        <f t="shared" si="8"/>
        <v>0</v>
      </c>
      <c r="Y47" s="41"/>
      <c r="Z47" s="67">
        <f t="shared" si="9"/>
        <v>0</v>
      </c>
      <c r="AA47" s="41"/>
      <c r="AB47" s="67">
        <f t="shared" si="10"/>
        <v>0</v>
      </c>
      <c r="AC47" s="41"/>
      <c r="AD47" s="67">
        <f t="shared" si="11"/>
        <v>0</v>
      </c>
      <c r="AE47" s="41"/>
      <c r="AF47" s="108">
        <f t="shared" si="12"/>
        <v>0</v>
      </c>
      <c r="AG47" s="127">
        <f t="shared" si="0"/>
        <v>837</v>
      </c>
    </row>
    <row r="48" spans="1:33" s="47" customFormat="1" ht="12.75" customHeight="1" x14ac:dyDescent="0.25">
      <c r="A48" s="338"/>
      <c r="B48" s="358"/>
      <c r="C48" s="335"/>
      <c r="D48" s="39" t="s">
        <v>482</v>
      </c>
      <c r="E48" s="50" t="s">
        <v>740</v>
      </c>
      <c r="F48" s="40" t="s">
        <v>531</v>
      </c>
      <c r="G48" s="110" t="s">
        <v>582</v>
      </c>
      <c r="H48" s="41">
        <v>386857</v>
      </c>
      <c r="I48" s="41">
        <v>390002</v>
      </c>
      <c r="J48" s="67">
        <f t="shared" si="1"/>
        <v>3145</v>
      </c>
      <c r="K48" s="41">
        <v>392699</v>
      </c>
      <c r="L48" s="67">
        <f t="shared" si="2"/>
        <v>2697</v>
      </c>
      <c r="M48" s="41">
        <v>395282</v>
      </c>
      <c r="N48" s="67">
        <f t="shared" si="3"/>
        <v>2583</v>
      </c>
      <c r="O48" s="41">
        <v>396101</v>
      </c>
      <c r="P48" s="67">
        <f t="shared" si="4"/>
        <v>819</v>
      </c>
      <c r="Q48" s="41">
        <v>396706</v>
      </c>
      <c r="R48" s="67">
        <f t="shared" si="5"/>
        <v>605</v>
      </c>
      <c r="S48" s="41"/>
      <c r="T48" s="67">
        <f t="shared" si="6"/>
        <v>0</v>
      </c>
      <c r="U48" s="41"/>
      <c r="V48" s="67">
        <f t="shared" si="7"/>
        <v>0</v>
      </c>
      <c r="W48" s="41"/>
      <c r="X48" s="67">
        <f t="shared" si="8"/>
        <v>0</v>
      </c>
      <c r="Y48" s="41"/>
      <c r="Z48" s="67">
        <f t="shared" si="9"/>
        <v>0</v>
      </c>
      <c r="AA48" s="41"/>
      <c r="AB48" s="67">
        <f t="shared" si="10"/>
        <v>0</v>
      </c>
      <c r="AC48" s="41"/>
      <c r="AD48" s="67">
        <f t="shared" si="11"/>
        <v>0</v>
      </c>
      <c r="AE48" s="41"/>
      <c r="AF48" s="108">
        <f t="shared" si="12"/>
        <v>0</v>
      </c>
      <c r="AG48" s="127">
        <f t="shared" si="0"/>
        <v>9849</v>
      </c>
    </row>
    <row r="49" spans="1:33" s="47" customFormat="1" ht="12.75" customHeight="1" x14ac:dyDescent="0.25">
      <c r="A49" s="338"/>
      <c r="B49" s="358"/>
      <c r="C49" s="335"/>
      <c r="D49" s="39" t="s">
        <v>483</v>
      </c>
      <c r="E49" s="50" t="s">
        <v>741</v>
      </c>
      <c r="F49" s="40" t="s">
        <v>532</v>
      </c>
      <c r="G49" s="110" t="s">
        <v>576</v>
      </c>
      <c r="H49" s="41">
        <v>195284</v>
      </c>
      <c r="I49" s="41">
        <v>196805</v>
      </c>
      <c r="J49" s="67">
        <f t="shared" si="1"/>
        <v>1521</v>
      </c>
      <c r="K49" s="41">
        <v>198102</v>
      </c>
      <c r="L49" s="67">
        <f t="shared" si="2"/>
        <v>1297</v>
      </c>
      <c r="M49" s="41">
        <v>199344</v>
      </c>
      <c r="N49" s="67">
        <f t="shared" si="3"/>
        <v>1242</v>
      </c>
      <c r="O49" s="41">
        <v>200360</v>
      </c>
      <c r="P49" s="67">
        <f t="shared" si="4"/>
        <v>1016</v>
      </c>
      <c r="Q49" s="41">
        <v>201181</v>
      </c>
      <c r="R49" s="67">
        <f t="shared" si="5"/>
        <v>821</v>
      </c>
      <c r="S49" s="41"/>
      <c r="T49" s="67">
        <f t="shared" si="6"/>
        <v>0</v>
      </c>
      <c r="U49" s="41"/>
      <c r="V49" s="67">
        <f t="shared" si="7"/>
        <v>0</v>
      </c>
      <c r="W49" s="41"/>
      <c r="X49" s="67">
        <f t="shared" si="8"/>
        <v>0</v>
      </c>
      <c r="Y49" s="41"/>
      <c r="Z49" s="67">
        <f t="shared" si="9"/>
        <v>0</v>
      </c>
      <c r="AA49" s="41"/>
      <c r="AB49" s="67">
        <f t="shared" si="10"/>
        <v>0</v>
      </c>
      <c r="AC49" s="41"/>
      <c r="AD49" s="67">
        <f t="shared" si="11"/>
        <v>0</v>
      </c>
      <c r="AE49" s="41"/>
      <c r="AF49" s="108">
        <f t="shared" si="12"/>
        <v>0</v>
      </c>
      <c r="AG49" s="127">
        <f t="shared" si="0"/>
        <v>5897</v>
      </c>
    </row>
    <row r="50" spans="1:33" s="47" customFormat="1" ht="12.75" customHeight="1" x14ac:dyDescent="0.25">
      <c r="A50" s="338"/>
      <c r="B50" s="358"/>
      <c r="C50" s="335"/>
      <c r="D50" s="39" t="s">
        <v>484</v>
      </c>
      <c r="E50" s="50" t="s">
        <v>742</v>
      </c>
      <c r="F50" s="40" t="s">
        <v>506</v>
      </c>
      <c r="G50" s="110" t="s">
        <v>581</v>
      </c>
      <c r="H50" s="41">
        <v>36561</v>
      </c>
      <c r="I50" s="41">
        <v>117991</v>
      </c>
      <c r="J50" s="67">
        <f t="shared" si="1"/>
        <v>81430</v>
      </c>
      <c r="K50" s="41">
        <v>118664</v>
      </c>
      <c r="L50" s="67">
        <f t="shared" si="2"/>
        <v>673</v>
      </c>
      <c r="M50" s="41">
        <v>119309</v>
      </c>
      <c r="N50" s="67">
        <f t="shared" si="3"/>
        <v>645</v>
      </c>
      <c r="O50" s="41">
        <v>119843</v>
      </c>
      <c r="P50" s="67">
        <f t="shared" si="4"/>
        <v>534</v>
      </c>
      <c r="Q50" s="41">
        <v>120222</v>
      </c>
      <c r="R50" s="67">
        <f t="shared" si="5"/>
        <v>379</v>
      </c>
      <c r="S50" s="41"/>
      <c r="T50" s="67">
        <f t="shared" si="6"/>
        <v>0</v>
      </c>
      <c r="U50" s="41"/>
      <c r="V50" s="67">
        <f t="shared" si="7"/>
        <v>0</v>
      </c>
      <c r="W50" s="41"/>
      <c r="X50" s="67">
        <f t="shared" si="8"/>
        <v>0</v>
      </c>
      <c r="Y50" s="41"/>
      <c r="Z50" s="67">
        <f t="shared" si="9"/>
        <v>0</v>
      </c>
      <c r="AA50" s="41"/>
      <c r="AB50" s="67">
        <f t="shared" si="10"/>
        <v>0</v>
      </c>
      <c r="AC50" s="41"/>
      <c r="AD50" s="67">
        <f t="shared" si="11"/>
        <v>0</v>
      </c>
      <c r="AE50" s="41"/>
      <c r="AF50" s="108">
        <f t="shared" si="12"/>
        <v>0</v>
      </c>
      <c r="AG50" s="127">
        <f t="shared" si="0"/>
        <v>83661</v>
      </c>
    </row>
    <row r="51" spans="1:33" s="47" customFormat="1" ht="12.75" customHeight="1" x14ac:dyDescent="0.25">
      <c r="A51" s="338"/>
      <c r="B51" s="358"/>
      <c r="C51" s="335"/>
      <c r="D51" s="39" t="s">
        <v>485</v>
      </c>
      <c r="E51" s="50" t="s">
        <v>743</v>
      </c>
      <c r="F51" s="40" t="s">
        <v>507</v>
      </c>
      <c r="G51" s="110" t="s">
        <v>562</v>
      </c>
      <c r="H51" s="41">
        <v>77223</v>
      </c>
      <c r="I51" s="41">
        <v>78488</v>
      </c>
      <c r="J51" s="67">
        <f t="shared" si="1"/>
        <v>1265</v>
      </c>
      <c r="K51" s="41">
        <v>79623</v>
      </c>
      <c r="L51" s="67">
        <f t="shared" si="2"/>
        <v>1135</v>
      </c>
      <c r="M51" s="41">
        <v>80836</v>
      </c>
      <c r="N51" s="67">
        <f t="shared" si="3"/>
        <v>1213</v>
      </c>
      <c r="O51" s="41">
        <v>81871</v>
      </c>
      <c r="P51" s="67">
        <f t="shared" si="4"/>
        <v>1035</v>
      </c>
      <c r="Q51" s="41">
        <v>82564</v>
      </c>
      <c r="R51" s="67">
        <f t="shared" si="5"/>
        <v>693</v>
      </c>
      <c r="S51" s="41"/>
      <c r="T51" s="67">
        <f t="shared" si="6"/>
        <v>0</v>
      </c>
      <c r="U51" s="41"/>
      <c r="V51" s="67">
        <f t="shared" si="7"/>
        <v>0</v>
      </c>
      <c r="W51" s="41"/>
      <c r="X51" s="67">
        <f t="shared" si="8"/>
        <v>0</v>
      </c>
      <c r="Y51" s="41"/>
      <c r="Z51" s="67">
        <f t="shared" si="9"/>
        <v>0</v>
      </c>
      <c r="AA51" s="41"/>
      <c r="AB51" s="67">
        <f t="shared" si="10"/>
        <v>0</v>
      </c>
      <c r="AC51" s="41"/>
      <c r="AD51" s="67">
        <f t="shared" si="11"/>
        <v>0</v>
      </c>
      <c r="AE51" s="41"/>
      <c r="AF51" s="108">
        <f t="shared" si="12"/>
        <v>0</v>
      </c>
      <c r="AG51" s="127">
        <f t="shared" si="0"/>
        <v>5341</v>
      </c>
    </row>
    <row r="52" spans="1:33" s="47" customFormat="1" ht="12.75" customHeight="1" x14ac:dyDescent="0.25">
      <c r="A52" s="338"/>
      <c r="B52" s="358"/>
      <c r="C52" s="335"/>
      <c r="D52" s="39" t="s">
        <v>486</v>
      </c>
      <c r="E52" s="50" t="s">
        <v>744</v>
      </c>
      <c r="F52" s="40" t="s">
        <v>508</v>
      </c>
      <c r="G52" s="110" t="s">
        <v>559</v>
      </c>
      <c r="H52" s="41">
        <v>39834</v>
      </c>
      <c r="I52" s="41">
        <v>39874</v>
      </c>
      <c r="J52" s="67">
        <f t="shared" si="1"/>
        <v>40</v>
      </c>
      <c r="K52" s="41">
        <v>39914</v>
      </c>
      <c r="L52" s="67">
        <f t="shared" si="2"/>
        <v>40</v>
      </c>
      <c r="M52" s="41">
        <v>39945</v>
      </c>
      <c r="N52" s="67">
        <f t="shared" si="3"/>
        <v>31</v>
      </c>
      <c r="O52" s="41">
        <v>39972</v>
      </c>
      <c r="P52" s="67">
        <f t="shared" si="4"/>
        <v>27</v>
      </c>
      <c r="Q52" s="41">
        <v>39997</v>
      </c>
      <c r="R52" s="67">
        <f t="shared" si="5"/>
        <v>25</v>
      </c>
      <c r="S52" s="41"/>
      <c r="T52" s="67">
        <f t="shared" si="6"/>
        <v>0</v>
      </c>
      <c r="U52" s="41"/>
      <c r="V52" s="67">
        <f t="shared" si="7"/>
        <v>0</v>
      </c>
      <c r="W52" s="41"/>
      <c r="X52" s="67">
        <f t="shared" si="8"/>
        <v>0</v>
      </c>
      <c r="Y52" s="41"/>
      <c r="Z52" s="67">
        <f t="shared" si="9"/>
        <v>0</v>
      </c>
      <c r="AA52" s="41"/>
      <c r="AB52" s="67">
        <f t="shared" si="10"/>
        <v>0</v>
      </c>
      <c r="AC52" s="41"/>
      <c r="AD52" s="67">
        <f t="shared" si="11"/>
        <v>0</v>
      </c>
      <c r="AE52" s="41"/>
      <c r="AF52" s="108">
        <f t="shared" si="12"/>
        <v>0</v>
      </c>
      <c r="AG52" s="127">
        <f t="shared" si="0"/>
        <v>163</v>
      </c>
    </row>
    <row r="53" spans="1:33" s="47" customFormat="1" ht="12.75" customHeight="1" x14ac:dyDescent="0.25">
      <c r="A53" s="338"/>
      <c r="B53" s="358"/>
      <c r="C53" s="335"/>
      <c r="D53" s="39" t="s">
        <v>487</v>
      </c>
      <c r="E53" s="50" t="s">
        <v>745</v>
      </c>
      <c r="F53" s="40" t="s">
        <v>509</v>
      </c>
      <c r="G53" s="110" t="s">
        <v>570</v>
      </c>
      <c r="H53" s="41">
        <v>247</v>
      </c>
      <c r="I53" s="41">
        <v>447</v>
      </c>
      <c r="J53" s="67">
        <f t="shared" si="1"/>
        <v>200</v>
      </c>
      <c r="K53" s="41">
        <v>618</v>
      </c>
      <c r="L53" s="67">
        <f t="shared" si="2"/>
        <v>171</v>
      </c>
      <c r="M53" s="41">
        <v>778</v>
      </c>
      <c r="N53" s="67">
        <f t="shared" si="3"/>
        <v>160</v>
      </c>
      <c r="O53" s="41">
        <v>913</v>
      </c>
      <c r="P53" s="67">
        <f t="shared" si="4"/>
        <v>135</v>
      </c>
      <c r="Q53" s="41">
        <v>1034</v>
      </c>
      <c r="R53" s="67">
        <f t="shared" si="5"/>
        <v>121</v>
      </c>
      <c r="S53" s="41"/>
      <c r="T53" s="67">
        <f t="shared" si="6"/>
        <v>0</v>
      </c>
      <c r="U53" s="41"/>
      <c r="V53" s="67">
        <f t="shared" si="7"/>
        <v>0</v>
      </c>
      <c r="W53" s="41"/>
      <c r="X53" s="67">
        <f t="shared" si="8"/>
        <v>0</v>
      </c>
      <c r="Y53" s="41"/>
      <c r="Z53" s="67">
        <f t="shared" si="9"/>
        <v>0</v>
      </c>
      <c r="AA53" s="41"/>
      <c r="AB53" s="67">
        <f t="shared" si="10"/>
        <v>0</v>
      </c>
      <c r="AC53" s="41"/>
      <c r="AD53" s="67">
        <f t="shared" si="11"/>
        <v>0</v>
      </c>
      <c r="AE53" s="41"/>
      <c r="AF53" s="108">
        <f t="shared" si="12"/>
        <v>0</v>
      </c>
      <c r="AG53" s="127">
        <f t="shared" si="0"/>
        <v>787</v>
      </c>
    </row>
    <row r="54" spans="1:33" s="47" customFormat="1" ht="12.75" customHeight="1" x14ac:dyDescent="0.25">
      <c r="A54" s="338"/>
      <c r="B54" s="358"/>
      <c r="C54" s="335"/>
      <c r="D54" s="39" t="s">
        <v>491</v>
      </c>
      <c r="E54" s="50" t="s">
        <v>746</v>
      </c>
      <c r="F54" s="40" t="s">
        <v>510</v>
      </c>
      <c r="G54" s="110" t="s">
        <v>553</v>
      </c>
      <c r="H54" s="41">
        <v>866</v>
      </c>
      <c r="I54" s="41">
        <v>1311</v>
      </c>
      <c r="J54" s="67">
        <f t="shared" si="1"/>
        <v>445</v>
      </c>
      <c r="K54" s="41">
        <v>1688</v>
      </c>
      <c r="L54" s="67">
        <f t="shared" si="2"/>
        <v>377</v>
      </c>
      <c r="M54" s="41">
        <v>2042</v>
      </c>
      <c r="N54" s="67">
        <f t="shared" si="3"/>
        <v>354</v>
      </c>
      <c r="O54" s="41">
        <v>2318</v>
      </c>
      <c r="P54" s="67">
        <f t="shared" si="4"/>
        <v>276</v>
      </c>
      <c r="Q54" s="41">
        <v>2542</v>
      </c>
      <c r="R54" s="67">
        <f t="shared" si="5"/>
        <v>224</v>
      </c>
      <c r="S54" s="41"/>
      <c r="T54" s="67">
        <f t="shared" si="6"/>
        <v>0</v>
      </c>
      <c r="U54" s="41"/>
      <c r="V54" s="67">
        <f t="shared" si="7"/>
        <v>0</v>
      </c>
      <c r="W54" s="41"/>
      <c r="X54" s="67">
        <f t="shared" si="8"/>
        <v>0</v>
      </c>
      <c r="Y54" s="41"/>
      <c r="Z54" s="67">
        <f t="shared" si="9"/>
        <v>0</v>
      </c>
      <c r="AA54" s="41"/>
      <c r="AB54" s="67">
        <f t="shared" si="10"/>
        <v>0</v>
      </c>
      <c r="AC54" s="41"/>
      <c r="AD54" s="67">
        <f t="shared" si="11"/>
        <v>0</v>
      </c>
      <c r="AE54" s="41"/>
      <c r="AF54" s="108">
        <f t="shared" si="12"/>
        <v>0</v>
      </c>
      <c r="AG54" s="127">
        <f t="shared" si="0"/>
        <v>1676</v>
      </c>
    </row>
    <row r="55" spans="1:33" s="47" customFormat="1" ht="12.75" customHeight="1" x14ac:dyDescent="0.25">
      <c r="A55" s="338"/>
      <c r="B55" s="358"/>
      <c r="C55" s="335"/>
      <c r="D55" s="39" t="s">
        <v>492</v>
      </c>
      <c r="E55" s="50" t="s">
        <v>747</v>
      </c>
      <c r="F55" s="40" t="s">
        <v>511</v>
      </c>
      <c r="G55" s="110" t="s">
        <v>575</v>
      </c>
      <c r="H55" s="41">
        <v>199841</v>
      </c>
      <c r="I55" s="41">
        <v>200575</v>
      </c>
      <c r="J55" s="67">
        <f t="shared" si="1"/>
        <v>734</v>
      </c>
      <c r="K55" s="41">
        <v>201212</v>
      </c>
      <c r="L55" s="67">
        <f t="shared" si="2"/>
        <v>637</v>
      </c>
      <c r="M55" s="41">
        <v>201776</v>
      </c>
      <c r="N55" s="67">
        <f t="shared" si="3"/>
        <v>564</v>
      </c>
      <c r="O55" s="41">
        <v>202114</v>
      </c>
      <c r="P55" s="67">
        <f t="shared" si="4"/>
        <v>338</v>
      </c>
      <c r="Q55" s="41">
        <v>202429</v>
      </c>
      <c r="R55" s="67">
        <f t="shared" si="5"/>
        <v>315</v>
      </c>
      <c r="S55" s="41"/>
      <c r="T55" s="67">
        <f t="shared" si="6"/>
        <v>0</v>
      </c>
      <c r="U55" s="41"/>
      <c r="V55" s="67">
        <f t="shared" si="7"/>
        <v>0</v>
      </c>
      <c r="W55" s="41"/>
      <c r="X55" s="67">
        <f t="shared" si="8"/>
        <v>0</v>
      </c>
      <c r="Y55" s="41"/>
      <c r="Z55" s="67">
        <f t="shared" si="9"/>
        <v>0</v>
      </c>
      <c r="AA55" s="41"/>
      <c r="AB55" s="67">
        <f t="shared" si="10"/>
        <v>0</v>
      </c>
      <c r="AC55" s="41"/>
      <c r="AD55" s="67">
        <f t="shared" si="11"/>
        <v>0</v>
      </c>
      <c r="AE55" s="41"/>
      <c r="AF55" s="108">
        <f t="shared" si="12"/>
        <v>0</v>
      </c>
      <c r="AG55" s="127">
        <f t="shared" si="0"/>
        <v>2588</v>
      </c>
    </row>
    <row r="56" spans="1:33" s="47" customFormat="1" ht="12.75" customHeight="1" x14ac:dyDescent="0.25">
      <c r="A56" s="338"/>
      <c r="B56" s="358"/>
      <c r="C56" s="335"/>
      <c r="D56" s="39" t="s">
        <v>493</v>
      </c>
      <c r="E56" s="50" t="s">
        <v>748</v>
      </c>
      <c r="F56" s="40" t="s">
        <v>512</v>
      </c>
      <c r="G56" s="110" t="s">
        <v>580</v>
      </c>
      <c r="H56" s="41">
        <v>293377</v>
      </c>
      <c r="I56" s="41">
        <v>296236</v>
      </c>
      <c r="J56" s="67">
        <f t="shared" si="1"/>
        <v>2859</v>
      </c>
      <c r="K56" s="41">
        <v>298682</v>
      </c>
      <c r="L56" s="67">
        <f t="shared" si="2"/>
        <v>2446</v>
      </c>
      <c r="M56" s="41">
        <v>300864</v>
      </c>
      <c r="N56" s="67">
        <f t="shared" si="3"/>
        <v>2182</v>
      </c>
      <c r="O56" s="41">
        <v>302277</v>
      </c>
      <c r="P56" s="67">
        <f t="shared" si="4"/>
        <v>1413</v>
      </c>
      <c r="Q56" s="41">
        <v>303445</v>
      </c>
      <c r="R56" s="67">
        <f t="shared" si="5"/>
        <v>1168</v>
      </c>
      <c r="S56" s="41"/>
      <c r="T56" s="67">
        <f t="shared" si="6"/>
        <v>0</v>
      </c>
      <c r="U56" s="41"/>
      <c r="V56" s="67">
        <f t="shared" si="7"/>
        <v>0</v>
      </c>
      <c r="W56" s="41"/>
      <c r="X56" s="67">
        <f t="shared" si="8"/>
        <v>0</v>
      </c>
      <c r="Y56" s="41"/>
      <c r="Z56" s="67">
        <f t="shared" si="9"/>
        <v>0</v>
      </c>
      <c r="AA56" s="41"/>
      <c r="AB56" s="67">
        <f t="shared" si="10"/>
        <v>0</v>
      </c>
      <c r="AC56" s="41"/>
      <c r="AD56" s="67">
        <f t="shared" si="11"/>
        <v>0</v>
      </c>
      <c r="AE56" s="41"/>
      <c r="AF56" s="108">
        <f t="shared" si="12"/>
        <v>0</v>
      </c>
      <c r="AG56" s="127">
        <f t="shared" si="0"/>
        <v>10068</v>
      </c>
    </row>
    <row r="57" spans="1:33" s="47" customFormat="1" ht="12.75" customHeight="1" x14ac:dyDescent="0.25">
      <c r="A57" s="338"/>
      <c r="B57" s="358"/>
      <c r="C57" s="335"/>
      <c r="D57" s="39" t="s">
        <v>494</v>
      </c>
      <c r="E57" s="50" t="s">
        <v>749</v>
      </c>
      <c r="F57" s="40" t="s">
        <v>513</v>
      </c>
      <c r="G57" s="110" t="s">
        <v>579</v>
      </c>
      <c r="H57" s="41">
        <v>1011</v>
      </c>
      <c r="I57" s="41">
        <v>1841</v>
      </c>
      <c r="J57" s="67">
        <f t="shared" si="1"/>
        <v>830</v>
      </c>
      <c r="K57" s="41">
        <v>2561</v>
      </c>
      <c r="L57" s="67">
        <f t="shared" si="2"/>
        <v>720</v>
      </c>
      <c r="M57" s="41">
        <v>3219</v>
      </c>
      <c r="N57" s="67">
        <f t="shared" si="3"/>
        <v>658</v>
      </c>
      <c r="O57" s="41">
        <v>3484</v>
      </c>
      <c r="P57" s="67">
        <f t="shared" si="4"/>
        <v>265</v>
      </c>
      <c r="Q57" s="41">
        <v>3701</v>
      </c>
      <c r="R57" s="67">
        <f t="shared" si="5"/>
        <v>217</v>
      </c>
      <c r="S57" s="41"/>
      <c r="T57" s="67">
        <f t="shared" si="6"/>
        <v>0</v>
      </c>
      <c r="U57" s="41"/>
      <c r="V57" s="67">
        <f t="shared" si="7"/>
        <v>0</v>
      </c>
      <c r="W57" s="41"/>
      <c r="X57" s="67">
        <f t="shared" si="8"/>
        <v>0</v>
      </c>
      <c r="Y57" s="41"/>
      <c r="Z57" s="67">
        <f t="shared" si="9"/>
        <v>0</v>
      </c>
      <c r="AA57" s="41"/>
      <c r="AB57" s="67">
        <f t="shared" si="10"/>
        <v>0</v>
      </c>
      <c r="AC57" s="41"/>
      <c r="AD57" s="67">
        <f t="shared" si="11"/>
        <v>0</v>
      </c>
      <c r="AE57" s="41"/>
      <c r="AF57" s="108">
        <f t="shared" si="12"/>
        <v>0</v>
      </c>
      <c r="AG57" s="127">
        <f t="shared" si="0"/>
        <v>2690</v>
      </c>
    </row>
    <row r="58" spans="1:33" s="47" customFormat="1" ht="12.75" customHeight="1" x14ac:dyDescent="0.25">
      <c r="A58" s="338"/>
      <c r="B58" s="358"/>
      <c r="C58" s="335"/>
      <c r="D58" s="39" t="s">
        <v>495</v>
      </c>
      <c r="E58" s="50" t="s">
        <v>750</v>
      </c>
      <c r="F58" s="40" t="s">
        <v>514</v>
      </c>
      <c r="G58" s="110" t="s">
        <v>556</v>
      </c>
      <c r="H58" s="41">
        <v>230800</v>
      </c>
      <c r="I58" s="41">
        <v>232863</v>
      </c>
      <c r="J58" s="67">
        <f t="shared" si="1"/>
        <v>2063</v>
      </c>
      <c r="K58" s="41">
        <v>234720</v>
      </c>
      <c r="L58" s="67">
        <f t="shared" si="2"/>
        <v>1857</v>
      </c>
      <c r="M58" s="41">
        <v>236448</v>
      </c>
      <c r="N58" s="67">
        <f t="shared" si="3"/>
        <v>1728</v>
      </c>
      <c r="O58" s="41">
        <v>237816</v>
      </c>
      <c r="P58" s="67">
        <f t="shared" si="4"/>
        <v>1368</v>
      </c>
      <c r="Q58" s="41">
        <v>238887</v>
      </c>
      <c r="R58" s="67">
        <f t="shared" si="5"/>
        <v>1071</v>
      </c>
      <c r="S58" s="41"/>
      <c r="T58" s="67">
        <f t="shared" si="6"/>
        <v>0</v>
      </c>
      <c r="U58" s="41"/>
      <c r="V58" s="67">
        <f t="shared" si="7"/>
        <v>0</v>
      </c>
      <c r="W58" s="41"/>
      <c r="X58" s="67">
        <f t="shared" si="8"/>
        <v>0</v>
      </c>
      <c r="Y58" s="41"/>
      <c r="Z58" s="67">
        <f t="shared" si="9"/>
        <v>0</v>
      </c>
      <c r="AA58" s="41"/>
      <c r="AB58" s="67">
        <f t="shared" si="10"/>
        <v>0</v>
      </c>
      <c r="AC58" s="41"/>
      <c r="AD58" s="67">
        <f t="shared" si="11"/>
        <v>0</v>
      </c>
      <c r="AE58" s="41"/>
      <c r="AF58" s="108">
        <f t="shared" si="12"/>
        <v>0</v>
      </c>
      <c r="AG58" s="127">
        <f t="shared" si="0"/>
        <v>8087</v>
      </c>
    </row>
    <row r="59" spans="1:33" s="47" customFormat="1" ht="12.75" customHeight="1" x14ac:dyDescent="0.25">
      <c r="A59" s="338"/>
      <c r="B59" s="358"/>
      <c r="C59" s="335"/>
      <c r="D59" s="39" t="s">
        <v>496</v>
      </c>
      <c r="E59" s="50" t="s">
        <v>751</v>
      </c>
      <c r="F59" s="40" t="s">
        <v>515</v>
      </c>
      <c r="G59" s="110" t="s">
        <v>554</v>
      </c>
      <c r="H59" s="41">
        <v>116763</v>
      </c>
      <c r="I59" s="41">
        <v>118370</v>
      </c>
      <c r="J59" s="67">
        <f t="shared" si="1"/>
        <v>1607</v>
      </c>
      <c r="K59" s="41">
        <v>119743</v>
      </c>
      <c r="L59" s="67">
        <f t="shared" si="2"/>
        <v>1373</v>
      </c>
      <c r="M59" s="41">
        <v>120802</v>
      </c>
      <c r="N59" s="67">
        <f t="shared" si="3"/>
        <v>1059</v>
      </c>
      <c r="O59" s="41">
        <v>121233</v>
      </c>
      <c r="P59" s="67">
        <f t="shared" si="4"/>
        <v>431</v>
      </c>
      <c r="Q59" s="41">
        <v>121560</v>
      </c>
      <c r="R59" s="67">
        <f t="shared" si="5"/>
        <v>327</v>
      </c>
      <c r="S59" s="41"/>
      <c r="T59" s="67">
        <f t="shared" si="6"/>
        <v>0</v>
      </c>
      <c r="U59" s="41"/>
      <c r="V59" s="67">
        <f t="shared" si="7"/>
        <v>0</v>
      </c>
      <c r="W59" s="41"/>
      <c r="X59" s="67">
        <f t="shared" si="8"/>
        <v>0</v>
      </c>
      <c r="Y59" s="41"/>
      <c r="Z59" s="67">
        <f t="shared" si="9"/>
        <v>0</v>
      </c>
      <c r="AA59" s="41"/>
      <c r="AB59" s="67">
        <f t="shared" si="10"/>
        <v>0</v>
      </c>
      <c r="AC59" s="41"/>
      <c r="AD59" s="67">
        <f t="shared" si="11"/>
        <v>0</v>
      </c>
      <c r="AE59" s="41"/>
      <c r="AF59" s="108">
        <f t="shared" si="12"/>
        <v>0</v>
      </c>
      <c r="AG59" s="127">
        <f t="shared" si="0"/>
        <v>4797</v>
      </c>
    </row>
    <row r="60" spans="1:33" s="47" customFormat="1" ht="12.75" customHeight="1" x14ac:dyDescent="0.25">
      <c r="A60" s="338"/>
      <c r="B60" s="358"/>
      <c r="C60" s="335"/>
      <c r="D60" s="39" t="s">
        <v>483</v>
      </c>
      <c r="E60" s="50" t="s">
        <v>752</v>
      </c>
      <c r="F60" s="40" t="s">
        <v>516</v>
      </c>
      <c r="G60" s="110" t="s">
        <v>578</v>
      </c>
      <c r="H60" s="41">
        <v>61757</v>
      </c>
      <c r="I60" s="41">
        <v>62188</v>
      </c>
      <c r="J60" s="67">
        <f t="shared" si="1"/>
        <v>431</v>
      </c>
      <c r="K60" s="41">
        <v>62558</v>
      </c>
      <c r="L60" s="67">
        <f t="shared" si="2"/>
        <v>370</v>
      </c>
      <c r="M60" s="41">
        <v>62927</v>
      </c>
      <c r="N60" s="67">
        <f t="shared" si="3"/>
        <v>369</v>
      </c>
      <c r="O60" s="41">
        <v>63085</v>
      </c>
      <c r="P60" s="67">
        <f t="shared" si="4"/>
        <v>158</v>
      </c>
      <c r="Q60" s="41">
        <v>63174</v>
      </c>
      <c r="R60" s="67">
        <f t="shared" si="5"/>
        <v>89</v>
      </c>
      <c r="S60" s="41"/>
      <c r="T60" s="67">
        <f t="shared" si="6"/>
        <v>0</v>
      </c>
      <c r="U60" s="41"/>
      <c r="V60" s="67">
        <f t="shared" si="7"/>
        <v>0</v>
      </c>
      <c r="W60" s="41"/>
      <c r="X60" s="67">
        <f t="shared" si="8"/>
        <v>0</v>
      </c>
      <c r="Y60" s="41"/>
      <c r="Z60" s="67">
        <f t="shared" si="9"/>
        <v>0</v>
      </c>
      <c r="AA60" s="41"/>
      <c r="AB60" s="67">
        <f t="shared" si="10"/>
        <v>0</v>
      </c>
      <c r="AC60" s="41"/>
      <c r="AD60" s="67">
        <f t="shared" si="11"/>
        <v>0</v>
      </c>
      <c r="AE60" s="41"/>
      <c r="AF60" s="108">
        <f t="shared" si="12"/>
        <v>0</v>
      </c>
      <c r="AG60" s="127">
        <f t="shared" si="0"/>
        <v>1417</v>
      </c>
    </row>
    <row r="61" spans="1:33" s="47" customFormat="1" ht="12.75" customHeight="1" x14ac:dyDescent="0.25">
      <c r="A61" s="338"/>
      <c r="B61" s="358"/>
      <c r="C61" s="335"/>
      <c r="D61" s="39" t="s">
        <v>497</v>
      </c>
      <c r="E61" s="50" t="s">
        <v>753</v>
      </c>
      <c r="F61" s="40" t="s">
        <v>517</v>
      </c>
      <c r="G61" s="110" t="s">
        <v>567</v>
      </c>
      <c r="H61" s="41">
        <v>310077</v>
      </c>
      <c r="I61" s="41">
        <v>313993</v>
      </c>
      <c r="J61" s="67">
        <f t="shared" si="1"/>
        <v>3916</v>
      </c>
      <c r="K61" s="41">
        <v>317519</v>
      </c>
      <c r="L61" s="67">
        <f t="shared" si="2"/>
        <v>3526</v>
      </c>
      <c r="M61" s="41">
        <v>321051</v>
      </c>
      <c r="N61" s="67">
        <f t="shared" si="3"/>
        <v>3532</v>
      </c>
      <c r="O61" s="41">
        <v>322826</v>
      </c>
      <c r="P61" s="67">
        <f t="shared" si="4"/>
        <v>1775</v>
      </c>
      <c r="Q61" s="41">
        <v>323808</v>
      </c>
      <c r="R61" s="67">
        <f t="shared" si="5"/>
        <v>982</v>
      </c>
      <c r="S61" s="41"/>
      <c r="T61" s="67">
        <f t="shared" si="6"/>
        <v>0</v>
      </c>
      <c r="U61" s="41"/>
      <c r="V61" s="67">
        <f t="shared" si="7"/>
        <v>0</v>
      </c>
      <c r="W61" s="41"/>
      <c r="X61" s="67">
        <f t="shared" si="8"/>
        <v>0</v>
      </c>
      <c r="Y61" s="41"/>
      <c r="Z61" s="67">
        <f t="shared" si="9"/>
        <v>0</v>
      </c>
      <c r="AA61" s="41"/>
      <c r="AB61" s="67">
        <f t="shared" si="10"/>
        <v>0</v>
      </c>
      <c r="AC61" s="41"/>
      <c r="AD61" s="67">
        <f t="shared" si="11"/>
        <v>0</v>
      </c>
      <c r="AE61" s="41"/>
      <c r="AF61" s="108">
        <f t="shared" si="12"/>
        <v>0</v>
      </c>
      <c r="AG61" s="127">
        <f t="shared" si="0"/>
        <v>13731</v>
      </c>
    </row>
    <row r="62" spans="1:33" s="47" customFormat="1" ht="12.75" customHeight="1" x14ac:dyDescent="0.25">
      <c r="A62" s="338"/>
      <c r="B62" s="358"/>
      <c r="C62" s="335"/>
      <c r="D62" s="39" t="s">
        <v>498</v>
      </c>
      <c r="E62" s="50" t="s">
        <v>754</v>
      </c>
      <c r="F62" s="40" t="s">
        <v>518</v>
      </c>
      <c r="G62" s="110" t="s">
        <v>561</v>
      </c>
      <c r="H62" s="41">
        <v>27696</v>
      </c>
      <c r="I62" s="41">
        <v>27967</v>
      </c>
      <c r="J62" s="67">
        <f t="shared" si="1"/>
        <v>271</v>
      </c>
      <c r="K62" s="41">
        <v>28242</v>
      </c>
      <c r="L62" s="67">
        <f t="shared" si="2"/>
        <v>275</v>
      </c>
      <c r="M62" s="41">
        <v>28556</v>
      </c>
      <c r="N62" s="67">
        <f t="shared" si="3"/>
        <v>314</v>
      </c>
      <c r="O62" s="41">
        <v>28838</v>
      </c>
      <c r="P62" s="67">
        <f t="shared" si="4"/>
        <v>282</v>
      </c>
      <c r="Q62" s="41">
        <v>29048</v>
      </c>
      <c r="R62" s="67">
        <f t="shared" si="5"/>
        <v>210</v>
      </c>
      <c r="S62" s="41"/>
      <c r="T62" s="67">
        <f t="shared" si="6"/>
        <v>0</v>
      </c>
      <c r="U62" s="41"/>
      <c r="V62" s="67">
        <f t="shared" si="7"/>
        <v>0</v>
      </c>
      <c r="W62" s="41"/>
      <c r="X62" s="67">
        <f t="shared" si="8"/>
        <v>0</v>
      </c>
      <c r="Y62" s="41"/>
      <c r="Z62" s="67">
        <f t="shared" si="9"/>
        <v>0</v>
      </c>
      <c r="AA62" s="41"/>
      <c r="AB62" s="67">
        <f t="shared" si="10"/>
        <v>0</v>
      </c>
      <c r="AC62" s="41"/>
      <c r="AD62" s="67">
        <f t="shared" si="11"/>
        <v>0</v>
      </c>
      <c r="AE62" s="41"/>
      <c r="AF62" s="108">
        <f t="shared" si="12"/>
        <v>0</v>
      </c>
      <c r="AG62" s="127">
        <f t="shared" si="0"/>
        <v>1352</v>
      </c>
    </row>
    <row r="63" spans="1:33" s="47" customFormat="1" ht="12.75" customHeight="1" x14ac:dyDescent="0.25">
      <c r="A63" s="338"/>
      <c r="B63" s="358"/>
      <c r="C63" s="335"/>
      <c r="D63" s="39" t="s">
        <v>499</v>
      </c>
      <c r="E63" s="50" t="s">
        <v>755</v>
      </c>
      <c r="F63" s="40" t="s">
        <v>519</v>
      </c>
      <c r="G63" s="110" t="s">
        <v>566</v>
      </c>
      <c r="H63" s="41">
        <v>134850</v>
      </c>
      <c r="I63" s="41">
        <v>135160</v>
      </c>
      <c r="J63" s="67">
        <f t="shared" si="1"/>
        <v>310</v>
      </c>
      <c r="K63" s="41">
        <v>135420</v>
      </c>
      <c r="L63" s="67">
        <f t="shared" si="2"/>
        <v>260</v>
      </c>
      <c r="M63" s="41">
        <v>135667</v>
      </c>
      <c r="N63" s="67">
        <f t="shared" si="3"/>
        <v>247</v>
      </c>
      <c r="O63" s="41">
        <v>135872</v>
      </c>
      <c r="P63" s="67">
        <f t="shared" si="4"/>
        <v>205</v>
      </c>
      <c r="Q63" s="41">
        <v>136051</v>
      </c>
      <c r="R63" s="67">
        <f t="shared" si="5"/>
        <v>179</v>
      </c>
      <c r="S63" s="41"/>
      <c r="T63" s="67">
        <f t="shared" si="6"/>
        <v>0</v>
      </c>
      <c r="U63" s="41"/>
      <c r="V63" s="67">
        <f t="shared" si="7"/>
        <v>0</v>
      </c>
      <c r="W63" s="41"/>
      <c r="X63" s="67">
        <f t="shared" si="8"/>
        <v>0</v>
      </c>
      <c r="Y63" s="41"/>
      <c r="Z63" s="67">
        <f t="shared" si="9"/>
        <v>0</v>
      </c>
      <c r="AA63" s="41"/>
      <c r="AB63" s="67">
        <f t="shared" si="10"/>
        <v>0</v>
      </c>
      <c r="AC63" s="41"/>
      <c r="AD63" s="67">
        <f t="shared" si="11"/>
        <v>0</v>
      </c>
      <c r="AE63" s="41"/>
      <c r="AF63" s="108">
        <f t="shared" si="12"/>
        <v>0</v>
      </c>
      <c r="AG63" s="127">
        <f t="shared" si="0"/>
        <v>1201</v>
      </c>
    </row>
    <row r="64" spans="1:33" s="47" customFormat="1" ht="12.75" customHeight="1" x14ac:dyDescent="0.25">
      <c r="A64" s="338"/>
      <c r="B64" s="358"/>
      <c r="C64" s="335"/>
      <c r="D64" s="39" t="s">
        <v>500</v>
      </c>
      <c r="E64" s="50" t="s">
        <v>756</v>
      </c>
      <c r="F64" s="40" t="s">
        <v>520</v>
      </c>
      <c r="G64" s="110" t="s">
        <v>733</v>
      </c>
      <c r="H64" s="41">
        <v>607897</v>
      </c>
      <c r="I64" s="41">
        <v>610212</v>
      </c>
      <c r="J64" s="67">
        <f t="shared" si="1"/>
        <v>2315</v>
      </c>
      <c r="K64" s="41">
        <v>612138</v>
      </c>
      <c r="L64" s="67">
        <f t="shared" si="2"/>
        <v>1926</v>
      </c>
      <c r="M64" s="41">
        <v>614024</v>
      </c>
      <c r="N64" s="67">
        <f t="shared" si="3"/>
        <v>1886</v>
      </c>
      <c r="O64" s="41">
        <v>274</v>
      </c>
      <c r="P64" s="67">
        <f>O64+615428-M64</f>
        <v>1678</v>
      </c>
      <c r="Q64" s="41">
        <v>1817</v>
      </c>
      <c r="R64" s="67">
        <f t="shared" si="5"/>
        <v>1543</v>
      </c>
      <c r="S64" s="41"/>
      <c r="T64" s="67">
        <f t="shared" si="6"/>
        <v>0</v>
      </c>
      <c r="U64" s="41"/>
      <c r="V64" s="67">
        <f t="shared" si="7"/>
        <v>0</v>
      </c>
      <c r="W64" s="41"/>
      <c r="X64" s="67">
        <f t="shared" si="8"/>
        <v>0</v>
      </c>
      <c r="Y64" s="41"/>
      <c r="Z64" s="67">
        <f t="shared" si="9"/>
        <v>0</v>
      </c>
      <c r="AA64" s="41"/>
      <c r="AB64" s="67">
        <f t="shared" si="10"/>
        <v>0</v>
      </c>
      <c r="AC64" s="41"/>
      <c r="AD64" s="67">
        <f t="shared" si="11"/>
        <v>0</v>
      </c>
      <c r="AE64" s="41"/>
      <c r="AF64" s="108">
        <f t="shared" si="12"/>
        <v>0</v>
      </c>
      <c r="AG64" s="127">
        <f t="shared" si="0"/>
        <v>9348</v>
      </c>
    </row>
    <row r="65" spans="1:34" s="47" customFormat="1" ht="12.75" customHeight="1" x14ac:dyDescent="0.25">
      <c r="A65" s="338"/>
      <c r="B65" s="358"/>
      <c r="C65" s="335"/>
      <c r="D65" s="39" t="s">
        <v>501</v>
      </c>
      <c r="E65" s="50" t="s">
        <v>757</v>
      </c>
      <c r="F65" s="40" t="s">
        <v>521</v>
      </c>
      <c r="G65" s="110" t="s">
        <v>564</v>
      </c>
      <c r="H65" s="41">
        <v>76633</v>
      </c>
      <c r="I65" s="41">
        <v>76879</v>
      </c>
      <c r="J65" s="67">
        <f t="shared" si="1"/>
        <v>246</v>
      </c>
      <c r="K65" s="41">
        <v>77125</v>
      </c>
      <c r="L65" s="67">
        <f t="shared" si="2"/>
        <v>246</v>
      </c>
      <c r="M65" s="41">
        <v>77373</v>
      </c>
      <c r="N65" s="67">
        <f t="shared" si="3"/>
        <v>248</v>
      </c>
      <c r="O65" s="41">
        <v>77573</v>
      </c>
      <c r="P65" s="67">
        <f t="shared" si="4"/>
        <v>200</v>
      </c>
      <c r="Q65" s="41">
        <v>77733</v>
      </c>
      <c r="R65" s="67">
        <f t="shared" si="5"/>
        <v>160</v>
      </c>
      <c r="S65" s="41"/>
      <c r="T65" s="67">
        <f t="shared" si="6"/>
        <v>0</v>
      </c>
      <c r="U65" s="41"/>
      <c r="V65" s="67">
        <f t="shared" si="7"/>
        <v>0</v>
      </c>
      <c r="W65" s="41"/>
      <c r="X65" s="67">
        <f t="shared" si="8"/>
        <v>0</v>
      </c>
      <c r="Y65" s="41"/>
      <c r="Z65" s="67">
        <f t="shared" si="9"/>
        <v>0</v>
      </c>
      <c r="AA65" s="41"/>
      <c r="AB65" s="67">
        <f t="shared" si="10"/>
        <v>0</v>
      </c>
      <c r="AC65" s="41"/>
      <c r="AD65" s="67">
        <f t="shared" si="11"/>
        <v>0</v>
      </c>
      <c r="AE65" s="41"/>
      <c r="AF65" s="108">
        <f t="shared" si="12"/>
        <v>0</v>
      </c>
      <c r="AG65" s="127">
        <f t="shared" si="0"/>
        <v>1100</v>
      </c>
    </row>
    <row r="66" spans="1:34" s="47" customFormat="1" ht="12.75" customHeight="1" x14ac:dyDescent="0.25">
      <c r="A66" s="338"/>
      <c r="B66" s="358"/>
      <c r="C66" s="335"/>
      <c r="D66" s="39" t="s">
        <v>502</v>
      </c>
      <c r="E66" s="50" t="s">
        <v>758</v>
      </c>
      <c r="F66" s="40" t="s">
        <v>522</v>
      </c>
      <c r="G66" s="110" t="s">
        <v>551</v>
      </c>
      <c r="H66" s="41">
        <v>42714</v>
      </c>
      <c r="I66" s="41">
        <v>42849</v>
      </c>
      <c r="J66" s="67">
        <f t="shared" si="1"/>
        <v>135</v>
      </c>
      <c r="K66" s="41">
        <v>42933</v>
      </c>
      <c r="L66" s="67">
        <f t="shared" si="2"/>
        <v>84</v>
      </c>
      <c r="M66" s="41">
        <v>43016</v>
      </c>
      <c r="N66" s="67">
        <f t="shared" si="3"/>
        <v>83</v>
      </c>
      <c r="O66" s="41">
        <v>43088</v>
      </c>
      <c r="P66" s="67">
        <f t="shared" si="4"/>
        <v>72</v>
      </c>
      <c r="Q66" s="41">
        <v>43152</v>
      </c>
      <c r="R66" s="67">
        <f t="shared" si="5"/>
        <v>64</v>
      </c>
      <c r="S66" s="41"/>
      <c r="T66" s="67">
        <f t="shared" si="6"/>
        <v>0</v>
      </c>
      <c r="U66" s="41"/>
      <c r="V66" s="67">
        <f t="shared" si="7"/>
        <v>0</v>
      </c>
      <c r="W66" s="41"/>
      <c r="X66" s="67">
        <f t="shared" si="8"/>
        <v>0</v>
      </c>
      <c r="Y66" s="41"/>
      <c r="Z66" s="67">
        <f t="shared" si="9"/>
        <v>0</v>
      </c>
      <c r="AA66" s="41"/>
      <c r="AB66" s="67">
        <f t="shared" si="10"/>
        <v>0</v>
      </c>
      <c r="AC66" s="41"/>
      <c r="AD66" s="67">
        <f t="shared" si="11"/>
        <v>0</v>
      </c>
      <c r="AE66" s="41"/>
      <c r="AF66" s="108">
        <f t="shared" si="12"/>
        <v>0</v>
      </c>
      <c r="AG66" s="127">
        <f t="shared" si="0"/>
        <v>438</v>
      </c>
    </row>
    <row r="67" spans="1:34" s="47" customFormat="1" ht="12.75" customHeight="1" x14ac:dyDescent="0.25">
      <c r="A67" s="338"/>
      <c r="B67" s="358"/>
      <c r="C67" s="335"/>
      <c r="D67" s="39" t="s">
        <v>497</v>
      </c>
      <c r="E67" s="50" t="s">
        <v>759</v>
      </c>
      <c r="F67" s="40" t="s">
        <v>523</v>
      </c>
      <c r="G67" s="110" t="s">
        <v>568</v>
      </c>
      <c r="H67" s="41">
        <v>562860</v>
      </c>
      <c r="I67" s="41">
        <v>565129</v>
      </c>
      <c r="J67" s="67">
        <f t="shared" si="1"/>
        <v>2269</v>
      </c>
      <c r="K67" s="41">
        <v>567059</v>
      </c>
      <c r="L67" s="67">
        <f t="shared" si="2"/>
        <v>1930</v>
      </c>
      <c r="M67" s="41">
        <v>568916</v>
      </c>
      <c r="N67" s="67">
        <f t="shared" si="3"/>
        <v>1857</v>
      </c>
      <c r="O67" s="41">
        <v>570500</v>
      </c>
      <c r="P67" s="67">
        <f t="shared" si="4"/>
        <v>1584</v>
      </c>
      <c r="Q67" s="41">
        <v>571572</v>
      </c>
      <c r="R67" s="67">
        <f t="shared" si="5"/>
        <v>1072</v>
      </c>
      <c r="S67" s="41"/>
      <c r="T67" s="67">
        <f t="shared" si="6"/>
        <v>0</v>
      </c>
      <c r="U67" s="41"/>
      <c r="V67" s="67">
        <f t="shared" si="7"/>
        <v>0</v>
      </c>
      <c r="W67" s="41"/>
      <c r="X67" s="67">
        <f t="shared" si="8"/>
        <v>0</v>
      </c>
      <c r="Y67" s="41"/>
      <c r="Z67" s="67">
        <f t="shared" si="9"/>
        <v>0</v>
      </c>
      <c r="AA67" s="41"/>
      <c r="AB67" s="67">
        <f t="shared" si="10"/>
        <v>0</v>
      </c>
      <c r="AC67" s="41"/>
      <c r="AD67" s="67">
        <f t="shared" si="11"/>
        <v>0</v>
      </c>
      <c r="AE67" s="41"/>
      <c r="AF67" s="108">
        <f t="shared" si="12"/>
        <v>0</v>
      </c>
      <c r="AG67" s="127">
        <f t="shared" si="0"/>
        <v>8712</v>
      </c>
    </row>
    <row r="68" spans="1:34" s="47" customFormat="1" ht="12.75" customHeight="1" x14ac:dyDescent="0.25">
      <c r="A68" s="338"/>
      <c r="B68" s="358"/>
      <c r="C68" s="335"/>
      <c r="D68" s="39" t="s">
        <v>503</v>
      </c>
      <c r="E68" s="50" t="s">
        <v>760</v>
      </c>
      <c r="F68" s="40" t="s">
        <v>524</v>
      </c>
      <c r="G68" s="110" t="s">
        <v>558</v>
      </c>
      <c r="H68" s="41">
        <v>597</v>
      </c>
      <c r="I68" s="41">
        <v>666</v>
      </c>
      <c r="J68" s="67">
        <f t="shared" si="1"/>
        <v>69</v>
      </c>
      <c r="K68" s="41">
        <v>728</v>
      </c>
      <c r="L68" s="67">
        <f t="shared" si="2"/>
        <v>62</v>
      </c>
      <c r="M68" s="41">
        <v>785</v>
      </c>
      <c r="N68" s="67">
        <f t="shared" si="3"/>
        <v>57</v>
      </c>
      <c r="O68" s="41">
        <v>833</v>
      </c>
      <c r="P68" s="67">
        <f t="shared" si="4"/>
        <v>48</v>
      </c>
      <c r="Q68" s="41">
        <v>876</v>
      </c>
      <c r="R68" s="67">
        <f t="shared" si="5"/>
        <v>43</v>
      </c>
      <c r="S68" s="41"/>
      <c r="T68" s="67">
        <f t="shared" si="6"/>
        <v>0</v>
      </c>
      <c r="U68" s="41"/>
      <c r="V68" s="67">
        <f t="shared" si="7"/>
        <v>0</v>
      </c>
      <c r="W68" s="41"/>
      <c r="X68" s="67">
        <f t="shared" si="8"/>
        <v>0</v>
      </c>
      <c r="Y68" s="41"/>
      <c r="Z68" s="67">
        <f t="shared" si="9"/>
        <v>0</v>
      </c>
      <c r="AA68" s="41"/>
      <c r="AB68" s="67">
        <f t="shared" si="10"/>
        <v>0</v>
      </c>
      <c r="AC68" s="41"/>
      <c r="AD68" s="67">
        <f t="shared" si="11"/>
        <v>0</v>
      </c>
      <c r="AE68" s="41"/>
      <c r="AF68" s="108">
        <f t="shared" si="12"/>
        <v>0</v>
      </c>
      <c r="AG68" s="127">
        <f t="shared" si="0"/>
        <v>279</v>
      </c>
    </row>
    <row r="69" spans="1:34" s="47" customFormat="1" ht="12.75" customHeight="1" x14ac:dyDescent="0.25">
      <c r="A69" s="338"/>
      <c r="B69" s="358"/>
      <c r="C69" s="335"/>
      <c r="D69" s="39" t="s">
        <v>504</v>
      </c>
      <c r="E69" s="50" t="s">
        <v>761</v>
      </c>
      <c r="F69" s="40" t="s">
        <v>525</v>
      </c>
      <c r="G69" s="110" t="s">
        <v>569</v>
      </c>
      <c r="H69" s="41">
        <v>36580</v>
      </c>
      <c r="I69" s="41">
        <v>37102</v>
      </c>
      <c r="J69" s="67">
        <f t="shared" ref="J69:J138" si="18">IF(I69&gt;0,I69-H69,)</f>
        <v>522</v>
      </c>
      <c r="K69" s="41">
        <v>37544</v>
      </c>
      <c r="L69" s="67">
        <f t="shared" ref="L69:L140" si="19">IF(K69&gt;0,K69-I69,)</f>
        <v>442</v>
      </c>
      <c r="M69" s="41">
        <v>37902</v>
      </c>
      <c r="N69" s="67">
        <f t="shared" ref="N69:N139" si="20">IF(M69&gt;0,M69-K69,)</f>
        <v>358</v>
      </c>
      <c r="O69" s="41">
        <v>38028</v>
      </c>
      <c r="P69" s="67">
        <f t="shared" ref="P69:P139" si="21">IF(O69&gt;0,O69-M69,)</f>
        <v>126</v>
      </c>
      <c r="Q69" s="41">
        <v>38133</v>
      </c>
      <c r="R69" s="67">
        <f t="shared" ref="R69:R139" si="22">IF(Q69&gt;0,Q69-O69,)</f>
        <v>105</v>
      </c>
      <c r="S69" s="41"/>
      <c r="T69" s="67">
        <f t="shared" ref="T69:T138" si="23">IF(S69&gt;0,S69-Q69,)</f>
        <v>0</v>
      </c>
      <c r="U69" s="41"/>
      <c r="V69" s="67">
        <f t="shared" ref="V69:V138" si="24">IF(U69&gt;0,U69-S69,)</f>
        <v>0</v>
      </c>
      <c r="W69" s="41"/>
      <c r="X69" s="67">
        <f t="shared" ref="X69:X138" si="25">IF(W69&gt;0,W69-U69,)</f>
        <v>0</v>
      </c>
      <c r="Y69" s="41"/>
      <c r="Z69" s="67">
        <f t="shared" ref="Z69:Z138" si="26">IF(Y69&gt;0,Y69-W69,)</f>
        <v>0</v>
      </c>
      <c r="AA69" s="41"/>
      <c r="AB69" s="67">
        <f t="shared" ref="AB69:AB138" si="27">IF(AA69&gt;0,AA69-Y69,)</f>
        <v>0</v>
      </c>
      <c r="AC69" s="41"/>
      <c r="AD69" s="67">
        <f t="shared" ref="AD69:AD138" si="28">IF(AC69&gt;0,AC69-AA69,)</f>
        <v>0</v>
      </c>
      <c r="AE69" s="41"/>
      <c r="AF69" s="108">
        <f t="shared" ref="AF69:AF138" si="29">IF(AE69&gt;0,AE69-AC69,)</f>
        <v>0</v>
      </c>
      <c r="AG69" s="127">
        <f t="shared" ref="AG69:AG138" si="30">J69+L69+N69+P69+R69+T69+V69+X69+Z69+AB69+AD69+AF69</f>
        <v>1553</v>
      </c>
    </row>
    <row r="70" spans="1:34" s="47" customFormat="1" ht="12.75" customHeight="1" x14ac:dyDescent="0.25">
      <c r="A70" s="338"/>
      <c r="B70" s="358"/>
      <c r="C70" s="335"/>
      <c r="D70" s="39" t="s">
        <v>505</v>
      </c>
      <c r="E70" s="50" t="s">
        <v>762</v>
      </c>
      <c r="F70" s="40" t="s">
        <v>526</v>
      </c>
      <c r="G70" s="110" t="s">
        <v>557</v>
      </c>
      <c r="H70" s="41">
        <v>181149</v>
      </c>
      <c r="I70" s="41">
        <v>182192</v>
      </c>
      <c r="J70" s="67">
        <f t="shared" si="18"/>
        <v>1043</v>
      </c>
      <c r="K70" s="41">
        <v>183018</v>
      </c>
      <c r="L70" s="67">
        <f t="shared" si="19"/>
        <v>826</v>
      </c>
      <c r="M70" s="41">
        <v>183807</v>
      </c>
      <c r="N70" s="67">
        <f t="shared" si="20"/>
        <v>789</v>
      </c>
      <c r="O70" s="41">
        <v>184427</v>
      </c>
      <c r="P70" s="67">
        <f t="shared" si="21"/>
        <v>620</v>
      </c>
      <c r="Q70" s="41">
        <v>184791</v>
      </c>
      <c r="R70" s="67">
        <f t="shared" si="22"/>
        <v>364</v>
      </c>
      <c r="S70" s="41"/>
      <c r="T70" s="67">
        <f t="shared" si="23"/>
        <v>0</v>
      </c>
      <c r="U70" s="41"/>
      <c r="V70" s="67">
        <f t="shared" si="24"/>
        <v>0</v>
      </c>
      <c r="W70" s="41"/>
      <c r="X70" s="67">
        <f t="shared" si="25"/>
        <v>0</v>
      </c>
      <c r="Y70" s="41"/>
      <c r="Z70" s="67">
        <f t="shared" si="26"/>
        <v>0</v>
      </c>
      <c r="AA70" s="41"/>
      <c r="AB70" s="67">
        <f t="shared" si="27"/>
        <v>0</v>
      </c>
      <c r="AC70" s="41"/>
      <c r="AD70" s="67">
        <f t="shared" si="28"/>
        <v>0</v>
      </c>
      <c r="AE70" s="41"/>
      <c r="AF70" s="108">
        <f t="shared" si="29"/>
        <v>0</v>
      </c>
      <c r="AG70" s="127">
        <f t="shared" si="30"/>
        <v>3642</v>
      </c>
    </row>
    <row r="71" spans="1:34" ht="12.75" customHeight="1" x14ac:dyDescent="0.25">
      <c r="A71" s="330" t="s">
        <v>258</v>
      </c>
      <c r="B71" s="343" t="s">
        <v>194</v>
      </c>
      <c r="C71" s="39" t="s">
        <v>673</v>
      </c>
      <c r="D71" s="56" t="s">
        <v>36</v>
      </c>
      <c r="E71" s="128" t="s">
        <v>380</v>
      </c>
      <c r="F71" s="40" t="s">
        <v>426</v>
      </c>
      <c r="G71" s="110"/>
      <c r="H71" s="104"/>
      <c r="I71" s="104"/>
      <c r="J71" s="67">
        <v>8180</v>
      </c>
      <c r="K71" s="104"/>
      <c r="L71" s="67">
        <v>7726</v>
      </c>
      <c r="M71" s="104"/>
      <c r="N71" s="67">
        <v>8.02</v>
      </c>
      <c r="O71" s="104"/>
      <c r="P71" s="67">
        <v>6.7240000000000002</v>
      </c>
      <c r="Q71" s="104"/>
      <c r="R71" s="67"/>
      <c r="S71" s="104"/>
      <c r="T71" s="67"/>
      <c r="U71" s="104"/>
      <c r="V71" s="67"/>
      <c r="W71" s="104"/>
      <c r="X71" s="67"/>
      <c r="Y71" s="104"/>
      <c r="Z71" s="67"/>
      <c r="AA71" s="104"/>
      <c r="AB71" s="67"/>
      <c r="AC71" s="104"/>
      <c r="AD71" s="67"/>
      <c r="AE71" s="104"/>
      <c r="AF71" s="108"/>
      <c r="AG71" s="127">
        <f t="shared" si="30"/>
        <v>15920.744000000001</v>
      </c>
    </row>
    <row r="72" spans="1:34" ht="12.75" customHeight="1" x14ac:dyDescent="0.25">
      <c r="A72" s="331"/>
      <c r="B72" s="343"/>
      <c r="C72" s="134" t="s">
        <v>673</v>
      </c>
      <c r="D72" s="56"/>
      <c r="E72" s="220" t="s">
        <v>348</v>
      </c>
      <c r="F72" s="40" t="s">
        <v>767</v>
      </c>
      <c r="G72" s="110" t="s">
        <v>765</v>
      </c>
      <c r="H72" s="41">
        <v>78878</v>
      </c>
      <c r="I72" s="41">
        <v>83000</v>
      </c>
      <c r="J72" s="67">
        <f t="shared" ref="J72:J74" si="31">IF(I72&gt;0,I72-H72,)</f>
        <v>4122</v>
      </c>
      <c r="K72" s="41">
        <v>87042</v>
      </c>
      <c r="L72" s="67">
        <f t="shared" ref="L72:L74" si="32">IF(K72&gt;0,K72-I72,)</f>
        <v>4042</v>
      </c>
      <c r="M72" s="41">
        <v>91259</v>
      </c>
      <c r="N72" s="67">
        <f t="shared" ref="N72:N74" si="33">IF(M72&gt;0,M72-K72,)</f>
        <v>4217</v>
      </c>
      <c r="O72" s="41">
        <v>95248</v>
      </c>
      <c r="P72" s="67">
        <f t="shared" ref="P72:P74" si="34">IF(O72&gt;0,O72-M72,)</f>
        <v>3989</v>
      </c>
      <c r="Q72" s="41">
        <v>99442</v>
      </c>
      <c r="R72" s="67">
        <f t="shared" ref="R72:R74" si="35">IF(Q72&gt;0,Q72-O72,)</f>
        <v>4194</v>
      </c>
      <c r="S72" s="41"/>
      <c r="T72" s="67">
        <f t="shared" ref="T72:T74" si="36">IF(S72&gt;0,S72-Q72,)</f>
        <v>0</v>
      </c>
      <c r="U72" s="41"/>
      <c r="V72" s="67">
        <f t="shared" ref="V72:V74" si="37">IF(U72&gt;0,U72-S72,)</f>
        <v>0</v>
      </c>
      <c r="W72" s="41"/>
      <c r="X72" s="67">
        <f t="shared" ref="X72:X74" si="38">IF(W72&gt;0,W72-U72,)</f>
        <v>0</v>
      </c>
      <c r="Y72" s="41"/>
      <c r="Z72" s="67">
        <f t="shared" ref="Z72:Z74" si="39">IF(Y72&gt;0,Y72-W72,)</f>
        <v>0</v>
      </c>
      <c r="AA72" s="41"/>
      <c r="AB72" s="67">
        <f t="shared" ref="AB72:AB74" si="40">IF(AA72&gt;0,AA72-Y72,)</f>
        <v>0</v>
      </c>
      <c r="AC72" s="41"/>
      <c r="AD72" s="67">
        <f t="shared" ref="AD72:AD74" si="41">IF(AC72&gt;0,AC72-AA72,)</f>
        <v>0</v>
      </c>
      <c r="AE72" s="41"/>
      <c r="AF72" s="108">
        <f t="shared" ref="AF72:AF74" si="42">IF(AE72&gt;0,AE72-AC72,)</f>
        <v>0</v>
      </c>
      <c r="AG72" s="127">
        <f t="shared" ref="AG72:AG74" si="43">J72+L72+N72+P72+R72+T72+V72+X72+Z72+AB72+AD72+AF72</f>
        <v>20564</v>
      </c>
      <c r="AH72" s="47"/>
    </row>
    <row r="73" spans="1:34" ht="12.75" customHeight="1" x14ac:dyDescent="0.25">
      <c r="A73" s="331"/>
      <c r="B73" s="343"/>
      <c r="C73" s="134" t="s">
        <v>673</v>
      </c>
      <c r="D73" s="56"/>
      <c r="E73" s="220" t="s">
        <v>348</v>
      </c>
      <c r="F73" s="40" t="s">
        <v>768</v>
      </c>
      <c r="G73" s="110" t="s">
        <v>766</v>
      </c>
      <c r="H73" s="41">
        <v>8847</v>
      </c>
      <c r="I73" s="41">
        <v>9450</v>
      </c>
      <c r="J73" s="67">
        <f t="shared" si="31"/>
        <v>603</v>
      </c>
      <c r="K73" s="41">
        <v>9842</v>
      </c>
      <c r="L73" s="67">
        <f t="shared" si="32"/>
        <v>392</v>
      </c>
      <c r="M73" s="41">
        <v>10313</v>
      </c>
      <c r="N73" s="67">
        <f t="shared" si="33"/>
        <v>471</v>
      </c>
      <c r="O73" s="41">
        <v>10616</v>
      </c>
      <c r="P73" s="67">
        <f t="shared" si="34"/>
        <v>303</v>
      </c>
      <c r="Q73" s="41">
        <v>10847</v>
      </c>
      <c r="R73" s="67">
        <f t="shared" si="35"/>
        <v>231</v>
      </c>
      <c r="S73" s="41"/>
      <c r="T73" s="67">
        <f t="shared" si="36"/>
        <v>0</v>
      </c>
      <c r="U73" s="41"/>
      <c r="V73" s="67">
        <f t="shared" si="37"/>
        <v>0</v>
      </c>
      <c r="W73" s="41"/>
      <c r="X73" s="67">
        <f t="shared" si="38"/>
        <v>0</v>
      </c>
      <c r="Y73" s="41"/>
      <c r="Z73" s="67">
        <f t="shared" si="39"/>
        <v>0</v>
      </c>
      <c r="AA73" s="41"/>
      <c r="AB73" s="67">
        <f t="shared" si="40"/>
        <v>0</v>
      </c>
      <c r="AC73" s="41"/>
      <c r="AD73" s="67">
        <f t="shared" si="41"/>
        <v>0</v>
      </c>
      <c r="AE73" s="41"/>
      <c r="AF73" s="108">
        <f t="shared" si="42"/>
        <v>0</v>
      </c>
      <c r="AG73" s="127">
        <f t="shared" si="43"/>
        <v>2000</v>
      </c>
      <c r="AH73" s="47"/>
    </row>
    <row r="74" spans="1:34" ht="12.75" customHeight="1" x14ac:dyDescent="0.25">
      <c r="A74" s="331"/>
      <c r="B74" s="343"/>
      <c r="C74" s="134" t="s">
        <v>672</v>
      </c>
      <c r="D74" s="56"/>
      <c r="E74" s="220" t="s">
        <v>348</v>
      </c>
      <c r="F74" s="40" t="s">
        <v>764</v>
      </c>
      <c r="G74" s="110" t="s">
        <v>769</v>
      </c>
      <c r="H74" s="41"/>
      <c r="I74" s="41"/>
      <c r="J74" s="67">
        <f t="shared" si="31"/>
        <v>0</v>
      </c>
      <c r="K74" s="41"/>
      <c r="L74" s="67">
        <f t="shared" si="32"/>
        <v>0</v>
      </c>
      <c r="M74" s="41"/>
      <c r="N74" s="67">
        <f t="shared" si="33"/>
        <v>0</v>
      </c>
      <c r="O74" s="41">
        <v>27</v>
      </c>
      <c r="P74" s="67">
        <f t="shared" si="34"/>
        <v>27</v>
      </c>
      <c r="Q74" s="41">
        <v>39</v>
      </c>
      <c r="R74" s="67">
        <f t="shared" si="35"/>
        <v>12</v>
      </c>
      <c r="S74" s="41"/>
      <c r="T74" s="67">
        <f t="shared" si="36"/>
        <v>0</v>
      </c>
      <c r="U74" s="41"/>
      <c r="V74" s="67">
        <f t="shared" si="37"/>
        <v>0</v>
      </c>
      <c r="W74" s="41"/>
      <c r="X74" s="67">
        <f t="shared" si="38"/>
        <v>0</v>
      </c>
      <c r="Y74" s="41"/>
      <c r="Z74" s="67">
        <f t="shared" si="39"/>
        <v>0</v>
      </c>
      <c r="AA74" s="41"/>
      <c r="AB74" s="67">
        <f t="shared" si="40"/>
        <v>0</v>
      </c>
      <c r="AC74" s="41"/>
      <c r="AD74" s="67">
        <f t="shared" si="41"/>
        <v>0</v>
      </c>
      <c r="AE74" s="41"/>
      <c r="AF74" s="108">
        <f t="shared" si="42"/>
        <v>0</v>
      </c>
      <c r="AG74" s="127">
        <f t="shared" si="43"/>
        <v>39</v>
      </c>
      <c r="AH74" s="47"/>
    </row>
    <row r="75" spans="1:34" ht="12.75" customHeight="1" x14ac:dyDescent="0.25">
      <c r="A75" s="331"/>
      <c r="B75" s="343"/>
      <c r="C75" s="39" t="s">
        <v>320</v>
      </c>
      <c r="D75" s="56" t="s">
        <v>36</v>
      </c>
      <c r="E75" s="128" t="s">
        <v>342</v>
      </c>
      <c r="F75" s="40" t="s">
        <v>421</v>
      </c>
      <c r="G75" s="110" t="s">
        <v>674</v>
      </c>
      <c r="H75" s="104"/>
      <c r="I75" s="104"/>
      <c r="J75" s="67">
        <v>41.89</v>
      </c>
      <c r="K75" s="104"/>
      <c r="L75" s="67">
        <v>30.92</v>
      </c>
      <c r="M75" s="104"/>
      <c r="N75" s="67">
        <v>22.99</v>
      </c>
      <c r="O75" s="104"/>
      <c r="P75" s="67">
        <v>13.54</v>
      </c>
      <c r="Q75" s="104"/>
      <c r="R75" s="67">
        <v>0.3</v>
      </c>
      <c r="S75" s="104"/>
      <c r="T75" s="67"/>
      <c r="U75" s="104"/>
      <c r="V75" s="67"/>
      <c r="W75" s="104"/>
      <c r="X75" s="67"/>
      <c r="Y75" s="104"/>
      <c r="Z75" s="67"/>
      <c r="AA75" s="104"/>
      <c r="AB75" s="67"/>
      <c r="AC75" s="104"/>
      <c r="AD75" s="67"/>
      <c r="AE75" s="104"/>
      <c r="AF75" s="108"/>
      <c r="AG75" s="127">
        <f t="shared" si="30"/>
        <v>109.64</v>
      </c>
    </row>
    <row r="76" spans="1:34" ht="12.75" customHeight="1" x14ac:dyDescent="0.25">
      <c r="A76" s="331"/>
      <c r="B76" s="343"/>
      <c r="C76" s="39" t="s">
        <v>320</v>
      </c>
      <c r="D76" s="56" t="s">
        <v>36</v>
      </c>
      <c r="E76" s="128" t="s">
        <v>337</v>
      </c>
      <c r="F76" s="40" t="s">
        <v>423</v>
      </c>
      <c r="G76" s="110" t="s">
        <v>424</v>
      </c>
      <c r="H76" s="41">
        <v>90</v>
      </c>
      <c r="I76" s="41">
        <v>92</v>
      </c>
      <c r="J76" s="67">
        <f t="shared" si="18"/>
        <v>2</v>
      </c>
      <c r="K76" s="41">
        <v>95</v>
      </c>
      <c r="L76" s="67">
        <f t="shared" si="19"/>
        <v>3</v>
      </c>
      <c r="M76" s="41">
        <v>98</v>
      </c>
      <c r="N76" s="67">
        <f t="shared" si="20"/>
        <v>3</v>
      </c>
      <c r="O76" s="41">
        <v>100</v>
      </c>
      <c r="P76" s="67">
        <f t="shared" si="21"/>
        <v>2</v>
      </c>
      <c r="Q76" s="41">
        <v>103</v>
      </c>
      <c r="R76" s="67">
        <f t="shared" si="22"/>
        <v>3</v>
      </c>
      <c r="S76" s="41"/>
      <c r="T76" s="67">
        <f t="shared" si="23"/>
        <v>0</v>
      </c>
      <c r="U76" s="41"/>
      <c r="V76" s="67">
        <f t="shared" si="24"/>
        <v>0</v>
      </c>
      <c r="W76" s="41"/>
      <c r="X76" s="67">
        <f t="shared" si="25"/>
        <v>0</v>
      </c>
      <c r="Y76" s="41"/>
      <c r="Z76" s="67">
        <f t="shared" si="26"/>
        <v>0</v>
      </c>
      <c r="AA76" s="41"/>
      <c r="AB76" s="67">
        <f t="shared" si="27"/>
        <v>0</v>
      </c>
      <c r="AC76" s="41"/>
      <c r="AD76" s="67">
        <f t="shared" si="28"/>
        <v>0</v>
      </c>
      <c r="AE76" s="41"/>
      <c r="AF76" s="108">
        <f t="shared" si="29"/>
        <v>0</v>
      </c>
      <c r="AG76" s="127">
        <f t="shared" si="30"/>
        <v>13</v>
      </c>
    </row>
    <row r="77" spans="1:34" ht="12" customHeight="1" x14ac:dyDescent="0.25">
      <c r="A77" s="331"/>
      <c r="B77" s="343"/>
      <c r="C77" s="134" t="s">
        <v>672</v>
      </c>
      <c r="D77" s="56" t="s">
        <v>42</v>
      </c>
      <c r="E77" s="128" t="s">
        <v>342</v>
      </c>
      <c r="F77" s="40" t="s">
        <v>421</v>
      </c>
      <c r="G77" s="110" t="s">
        <v>676</v>
      </c>
      <c r="H77" s="104"/>
      <c r="I77" s="104"/>
      <c r="J77" s="67">
        <v>42.4</v>
      </c>
      <c r="K77" s="104"/>
      <c r="L77" s="67">
        <v>43.5</v>
      </c>
      <c r="M77" s="104"/>
      <c r="N77" s="67">
        <v>24</v>
      </c>
      <c r="O77" s="104"/>
      <c r="P77" s="67">
        <v>10.8</v>
      </c>
      <c r="Q77" s="104"/>
      <c r="R77" s="67">
        <v>0</v>
      </c>
      <c r="S77" s="104"/>
      <c r="T77" s="67"/>
      <c r="U77" s="104"/>
      <c r="V77" s="67"/>
      <c r="W77" s="104"/>
      <c r="X77" s="67"/>
      <c r="Y77" s="104"/>
      <c r="Z77" s="67"/>
      <c r="AA77" s="104"/>
      <c r="AB77" s="67"/>
      <c r="AC77" s="104"/>
      <c r="AD77" s="67"/>
      <c r="AE77" s="104"/>
      <c r="AF77" s="108"/>
      <c r="AG77" s="127">
        <f t="shared" ref="AG77:AG78" si="44">J77+L77+N77+P77+R77+T77+V77+X77+Z77+AB77+AD77+AF77</f>
        <v>120.7</v>
      </c>
    </row>
    <row r="78" spans="1:34" ht="12.75" customHeight="1" x14ac:dyDescent="0.25">
      <c r="A78" s="331"/>
      <c r="B78" s="343"/>
      <c r="C78" s="134" t="s">
        <v>318</v>
      </c>
      <c r="D78" s="56" t="s">
        <v>42</v>
      </c>
      <c r="E78" s="128" t="s">
        <v>342</v>
      </c>
      <c r="F78" s="40" t="s">
        <v>421</v>
      </c>
      <c r="G78" s="110" t="s">
        <v>675</v>
      </c>
      <c r="H78" s="104"/>
      <c r="I78" s="104"/>
      <c r="J78" s="67">
        <v>25.36</v>
      </c>
      <c r="K78" s="104"/>
      <c r="L78" s="67">
        <v>24.76</v>
      </c>
      <c r="M78" s="104"/>
      <c r="N78" s="67">
        <v>17.59</v>
      </c>
      <c r="O78" s="104"/>
      <c r="P78" s="67">
        <v>7.76</v>
      </c>
      <c r="Q78" s="104"/>
      <c r="R78" s="67">
        <v>0.12</v>
      </c>
      <c r="S78" s="104"/>
      <c r="T78" s="67"/>
      <c r="U78" s="104"/>
      <c r="V78" s="67"/>
      <c r="W78" s="104"/>
      <c r="X78" s="67"/>
      <c r="Y78" s="104"/>
      <c r="Z78" s="67"/>
      <c r="AA78" s="104"/>
      <c r="AB78" s="67"/>
      <c r="AC78" s="104"/>
      <c r="AD78" s="67"/>
      <c r="AE78" s="104"/>
      <c r="AF78" s="108"/>
      <c r="AG78" s="127">
        <f t="shared" si="44"/>
        <v>75.590000000000018</v>
      </c>
    </row>
    <row r="79" spans="1:34" ht="12.75" customHeight="1" x14ac:dyDescent="0.25">
      <c r="A79" s="333"/>
      <c r="B79" s="343"/>
      <c r="C79" s="39" t="s">
        <v>671</v>
      </c>
      <c r="D79" s="56" t="s">
        <v>42</v>
      </c>
      <c r="E79" s="128" t="s">
        <v>337</v>
      </c>
      <c r="F79" s="40" t="s">
        <v>422</v>
      </c>
      <c r="G79" s="110" t="s">
        <v>641</v>
      </c>
      <c r="H79" s="41">
        <v>5564</v>
      </c>
      <c r="I79" s="41">
        <v>52</v>
      </c>
      <c r="J79" s="67">
        <f>5598-H79+I79</f>
        <v>86</v>
      </c>
      <c r="K79" s="41">
        <v>137</v>
      </c>
      <c r="L79" s="67">
        <f t="shared" si="19"/>
        <v>85</v>
      </c>
      <c r="M79" s="41">
        <v>244</v>
      </c>
      <c r="N79" s="67">
        <f t="shared" si="20"/>
        <v>107</v>
      </c>
      <c r="O79" s="41">
        <v>337</v>
      </c>
      <c r="P79" s="67">
        <f t="shared" si="21"/>
        <v>93</v>
      </c>
      <c r="Q79" s="41">
        <v>439</v>
      </c>
      <c r="R79" s="67">
        <f t="shared" si="22"/>
        <v>102</v>
      </c>
      <c r="S79" s="41"/>
      <c r="T79" s="67">
        <f t="shared" si="23"/>
        <v>0</v>
      </c>
      <c r="U79" s="41"/>
      <c r="V79" s="67">
        <f t="shared" si="24"/>
        <v>0</v>
      </c>
      <c r="W79" s="41"/>
      <c r="X79" s="67">
        <f t="shared" si="25"/>
        <v>0</v>
      </c>
      <c r="Y79" s="41"/>
      <c r="Z79" s="67">
        <f t="shared" si="26"/>
        <v>0</v>
      </c>
      <c r="AA79" s="41"/>
      <c r="AB79" s="67">
        <f t="shared" si="27"/>
        <v>0</v>
      </c>
      <c r="AC79" s="41"/>
      <c r="AD79" s="67">
        <f t="shared" si="28"/>
        <v>0</v>
      </c>
      <c r="AE79" s="41"/>
      <c r="AF79" s="108">
        <f t="shared" si="29"/>
        <v>0</v>
      </c>
      <c r="AG79" s="127">
        <f t="shared" si="30"/>
        <v>473</v>
      </c>
    </row>
    <row r="80" spans="1:34" ht="12.75" customHeight="1" x14ac:dyDescent="0.25">
      <c r="A80" s="330" t="s">
        <v>259</v>
      </c>
      <c r="B80" s="343"/>
      <c r="C80" s="39" t="s">
        <v>20</v>
      </c>
      <c r="D80" s="39" t="s">
        <v>22</v>
      </c>
      <c r="E80" s="128" t="s">
        <v>348</v>
      </c>
      <c r="F80" s="40" t="s">
        <v>418</v>
      </c>
      <c r="G80" s="110" t="s">
        <v>425</v>
      </c>
      <c r="H80" s="41"/>
      <c r="I80" s="41">
        <v>215061</v>
      </c>
      <c r="J80" s="67">
        <f t="shared" si="18"/>
        <v>215061</v>
      </c>
      <c r="K80" s="41">
        <v>216450</v>
      </c>
      <c r="L80" s="67">
        <f t="shared" si="19"/>
        <v>1389</v>
      </c>
      <c r="M80" s="41">
        <v>217996</v>
      </c>
      <c r="N80" s="67">
        <f t="shared" si="20"/>
        <v>1546</v>
      </c>
      <c r="O80" s="41">
        <v>219874</v>
      </c>
      <c r="P80" s="67">
        <f t="shared" si="21"/>
        <v>1878</v>
      </c>
      <c r="Q80" s="41">
        <v>221031</v>
      </c>
      <c r="R80" s="67">
        <f t="shared" si="22"/>
        <v>1157</v>
      </c>
      <c r="S80" s="41"/>
      <c r="T80" s="67">
        <f t="shared" si="23"/>
        <v>0</v>
      </c>
      <c r="U80" s="41"/>
      <c r="V80" s="67">
        <f t="shared" si="24"/>
        <v>0</v>
      </c>
      <c r="W80" s="41"/>
      <c r="X80" s="67">
        <f t="shared" si="25"/>
        <v>0</v>
      </c>
      <c r="Y80" s="41"/>
      <c r="Z80" s="67">
        <f t="shared" si="26"/>
        <v>0</v>
      </c>
      <c r="AA80" s="41"/>
      <c r="AB80" s="67">
        <f t="shared" si="27"/>
        <v>0</v>
      </c>
      <c r="AC80" s="41"/>
      <c r="AD80" s="67">
        <f t="shared" si="28"/>
        <v>0</v>
      </c>
      <c r="AE80" s="41"/>
      <c r="AF80" s="108">
        <f t="shared" si="29"/>
        <v>0</v>
      </c>
      <c r="AG80" s="127">
        <f t="shared" si="30"/>
        <v>221031</v>
      </c>
    </row>
    <row r="81" spans="1:33" ht="12.75" customHeight="1" x14ac:dyDescent="0.25">
      <c r="A81" s="331"/>
      <c r="B81" s="343"/>
      <c r="C81" s="134" t="s">
        <v>20</v>
      </c>
      <c r="D81" s="134" t="s">
        <v>22</v>
      </c>
      <c r="E81" s="165" t="s">
        <v>363</v>
      </c>
      <c r="F81" s="40" t="s">
        <v>418</v>
      </c>
      <c r="G81" s="110" t="s">
        <v>425</v>
      </c>
      <c r="H81" s="41"/>
      <c r="I81" s="41">
        <v>38294</v>
      </c>
      <c r="J81" s="67">
        <f t="shared" ref="J81" si="45">IF(I81&gt;0,I81-H81,)</f>
        <v>38294</v>
      </c>
      <c r="K81" s="41">
        <v>38558</v>
      </c>
      <c r="L81" s="67">
        <f t="shared" ref="L81" si="46">IF(K81&gt;0,K81-I81,)</f>
        <v>264</v>
      </c>
      <c r="M81" s="41">
        <v>38830</v>
      </c>
      <c r="N81" s="67">
        <f t="shared" ref="N81" si="47">IF(M81&gt;0,M81-K81,)</f>
        <v>272</v>
      </c>
      <c r="O81" s="41">
        <v>39214</v>
      </c>
      <c r="P81" s="67">
        <f t="shared" ref="P81" si="48">IF(O81&gt;0,O81-M81,)</f>
        <v>384</v>
      </c>
      <c r="Q81" s="41">
        <v>39452</v>
      </c>
      <c r="R81" s="67">
        <f t="shared" ref="R81" si="49">IF(Q81&gt;0,Q81-O81,)</f>
        <v>238</v>
      </c>
      <c r="S81" s="41"/>
      <c r="T81" s="67">
        <f t="shared" ref="T81" si="50">IF(S81&gt;0,S81-Q81,)</f>
        <v>0</v>
      </c>
      <c r="U81" s="41"/>
      <c r="V81" s="67">
        <f t="shared" ref="V81" si="51">IF(U81&gt;0,U81-S81,)</f>
        <v>0</v>
      </c>
      <c r="W81" s="41"/>
      <c r="X81" s="67">
        <f t="shared" ref="X81" si="52">IF(W81&gt;0,W81-U81,)</f>
        <v>0</v>
      </c>
      <c r="Y81" s="41"/>
      <c r="Z81" s="67">
        <f t="shared" ref="Z81" si="53">IF(Y81&gt;0,Y81-W81,)</f>
        <v>0</v>
      </c>
      <c r="AA81" s="41"/>
      <c r="AB81" s="67">
        <f t="shared" ref="AB81" si="54">IF(AA81&gt;0,AA81-Y81,)</f>
        <v>0</v>
      </c>
      <c r="AC81" s="41"/>
      <c r="AD81" s="67">
        <f t="shared" ref="AD81" si="55">IF(AC81&gt;0,AC81-AA81,)</f>
        <v>0</v>
      </c>
      <c r="AE81" s="41"/>
      <c r="AF81" s="108">
        <f t="shared" ref="AF81" si="56">IF(AE81&gt;0,AE81-AC81,)</f>
        <v>0</v>
      </c>
      <c r="AG81" s="127">
        <f t="shared" ref="AG81" si="57">J81+L81+N81+P81+R81+T81+V81+X81+Z81+AB81+AD81+AF81</f>
        <v>39452</v>
      </c>
    </row>
    <row r="82" spans="1:33" ht="12.75" customHeight="1" x14ac:dyDescent="0.25">
      <c r="A82" s="331"/>
      <c r="B82" s="343"/>
      <c r="C82" s="39" t="s">
        <v>20</v>
      </c>
      <c r="D82" s="39" t="s">
        <v>22</v>
      </c>
      <c r="E82" s="128" t="s">
        <v>342</v>
      </c>
      <c r="F82" s="40" t="s">
        <v>420</v>
      </c>
      <c r="G82" s="110" t="s">
        <v>608</v>
      </c>
      <c r="H82" s="104"/>
      <c r="I82" s="104"/>
      <c r="J82" s="67">
        <v>95.07</v>
      </c>
      <c r="K82" s="104"/>
      <c r="L82" s="67">
        <v>92.63</v>
      </c>
      <c r="M82" s="104"/>
      <c r="N82" s="67">
        <v>62.86</v>
      </c>
      <c r="O82" s="104"/>
      <c r="P82" s="67">
        <v>23.89</v>
      </c>
      <c r="Q82" s="104"/>
      <c r="R82" s="67">
        <v>3.42</v>
      </c>
      <c r="S82" s="104"/>
      <c r="T82" s="67"/>
      <c r="U82" s="104"/>
      <c r="V82" s="67"/>
      <c r="W82" s="104"/>
      <c r="X82" s="67"/>
      <c r="Y82" s="104"/>
      <c r="Z82" s="67"/>
      <c r="AA82" s="104"/>
      <c r="AB82" s="67"/>
      <c r="AC82" s="104"/>
      <c r="AD82" s="67"/>
      <c r="AE82" s="104"/>
      <c r="AF82" s="108"/>
      <c r="AG82" s="127">
        <f t="shared" si="30"/>
        <v>277.87</v>
      </c>
    </row>
    <row r="83" spans="1:33" ht="12.75" customHeight="1" x14ac:dyDescent="0.25">
      <c r="A83" s="333"/>
      <c r="B83" s="343"/>
      <c r="C83" s="39" t="s">
        <v>20</v>
      </c>
      <c r="D83" s="39" t="s">
        <v>22</v>
      </c>
      <c r="E83" s="128" t="s">
        <v>337</v>
      </c>
      <c r="F83" s="40" t="s">
        <v>419</v>
      </c>
      <c r="G83" s="110" t="s">
        <v>642</v>
      </c>
      <c r="H83" s="41">
        <v>372</v>
      </c>
      <c r="I83" s="41">
        <v>383</v>
      </c>
      <c r="J83" s="67">
        <f t="shared" si="18"/>
        <v>11</v>
      </c>
      <c r="K83" s="41">
        <v>390</v>
      </c>
      <c r="L83" s="67">
        <f t="shared" si="19"/>
        <v>7</v>
      </c>
      <c r="M83" s="41">
        <v>398</v>
      </c>
      <c r="N83" s="67">
        <f t="shared" si="20"/>
        <v>8</v>
      </c>
      <c r="O83" s="41">
        <v>406</v>
      </c>
      <c r="P83" s="67">
        <f t="shared" si="21"/>
        <v>8</v>
      </c>
      <c r="Q83" s="41">
        <v>417</v>
      </c>
      <c r="R83" s="67">
        <f t="shared" si="22"/>
        <v>11</v>
      </c>
      <c r="S83" s="41"/>
      <c r="T83" s="67">
        <f t="shared" si="23"/>
        <v>0</v>
      </c>
      <c r="U83" s="41"/>
      <c r="V83" s="67">
        <f t="shared" si="24"/>
        <v>0</v>
      </c>
      <c r="W83" s="41"/>
      <c r="X83" s="67">
        <f t="shared" si="25"/>
        <v>0</v>
      </c>
      <c r="Y83" s="41"/>
      <c r="Z83" s="67">
        <f t="shared" si="26"/>
        <v>0</v>
      </c>
      <c r="AA83" s="41"/>
      <c r="AB83" s="67">
        <f t="shared" si="27"/>
        <v>0</v>
      </c>
      <c r="AC83" s="41"/>
      <c r="AD83" s="67">
        <f t="shared" si="28"/>
        <v>0</v>
      </c>
      <c r="AE83" s="41"/>
      <c r="AF83" s="108">
        <f t="shared" si="29"/>
        <v>0</v>
      </c>
      <c r="AG83" s="127">
        <f t="shared" si="30"/>
        <v>45</v>
      </c>
    </row>
    <row r="84" spans="1:33" s="47" customFormat="1" ht="12.75" customHeight="1" x14ac:dyDescent="0.25">
      <c r="A84" s="337" t="s">
        <v>260</v>
      </c>
      <c r="B84" s="334" t="s">
        <v>138</v>
      </c>
      <c r="C84" s="38" t="s">
        <v>138</v>
      </c>
      <c r="D84" s="39" t="s">
        <v>34</v>
      </c>
      <c r="E84" s="50" t="s">
        <v>348</v>
      </c>
      <c r="F84" s="40" t="s">
        <v>401</v>
      </c>
      <c r="G84" s="110" t="s">
        <v>402</v>
      </c>
      <c r="H84" s="41">
        <v>143368</v>
      </c>
      <c r="I84" s="41">
        <v>144947</v>
      </c>
      <c r="J84" s="67">
        <f t="shared" si="18"/>
        <v>1579</v>
      </c>
      <c r="K84" s="41">
        <v>146240</v>
      </c>
      <c r="L84" s="67">
        <f t="shared" si="19"/>
        <v>1293</v>
      </c>
      <c r="M84" s="41">
        <v>147644</v>
      </c>
      <c r="N84" s="67">
        <f t="shared" si="20"/>
        <v>1404</v>
      </c>
      <c r="O84" s="41">
        <v>149228</v>
      </c>
      <c r="P84" s="67">
        <f t="shared" si="21"/>
        <v>1584</v>
      </c>
      <c r="Q84" s="41">
        <v>150670</v>
      </c>
      <c r="R84" s="67">
        <f t="shared" si="22"/>
        <v>1442</v>
      </c>
      <c r="S84" s="41"/>
      <c r="T84" s="67">
        <f t="shared" si="23"/>
        <v>0</v>
      </c>
      <c r="U84" s="41"/>
      <c r="V84" s="67">
        <f t="shared" si="24"/>
        <v>0</v>
      </c>
      <c r="W84" s="41"/>
      <c r="X84" s="67">
        <f t="shared" si="25"/>
        <v>0</v>
      </c>
      <c r="Y84" s="41"/>
      <c r="Z84" s="67">
        <f t="shared" si="26"/>
        <v>0</v>
      </c>
      <c r="AA84" s="41"/>
      <c r="AB84" s="67">
        <f t="shared" si="27"/>
        <v>0</v>
      </c>
      <c r="AC84" s="41"/>
      <c r="AD84" s="67">
        <f t="shared" si="28"/>
        <v>0</v>
      </c>
      <c r="AE84" s="41"/>
      <c r="AF84" s="108">
        <f t="shared" si="29"/>
        <v>0</v>
      </c>
      <c r="AG84" s="127">
        <f t="shared" si="30"/>
        <v>7302</v>
      </c>
    </row>
    <row r="85" spans="1:33" s="47" customFormat="1" ht="12.75" customHeight="1" x14ac:dyDescent="0.25">
      <c r="A85" s="338"/>
      <c r="B85" s="335"/>
      <c r="C85" s="38" t="s">
        <v>138</v>
      </c>
      <c r="D85" s="39" t="s">
        <v>34</v>
      </c>
      <c r="E85" s="50" t="s">
        <v>304</v>
      </c>
      <c r="F85" s="40" t="s">
        <v>386</v>
      </c>
      <c r="G85" s="110" t="s">
        <v>403</v>
      </c>
      <c r="H85" s="41">
        <v>780</v>
      </c>
      <c r="I85" s="41">
        <v>790.21</v>
      </c>
      <c r="J85" s="67">
        <f t="shared" si="18"/>
        <v>10.210000000000036</v>
      </c>
      <c r="K85" s="41">
        <v>826</v>
      </c>
      <c r="L85" s="67">
        <f t="shared" si="19"/>
        <v>35.789999999999964</v>
      </c>
      <c r="M85" s="41">
        <v>870</v>
      </c>
      <c r="N85" s="67">
        <f t="shared" si="20"/>
        <v>44</v>
      </c>
      <c r="O85" s="41">
        <v>917</v>
      </c>
      <c r="P85" s="67">
        <f t="shared" si="21"/>
        <v>47</v>
      </c>
      <c r="Q85" s="41">
        <v>960</v>
      </c>
      <c r="R85" s="67">
        <f t="shared" si="22"/>
        <v>43</v>
      </c>
      <c r="S85" s="41"/>
      <c r="T85" s="67">
        <f t="shared" si="23"/>
        <v>0</v>
      </c>
      <c r="U85" s="41"/>
      <c r="V85" s="67">
        <f t="shared" si="24"/>
        <v>0</v>
      </c>
      <c r="W85" s="41"/>
      <c r="X85" s="67">
        <f t="shared" si="25"/>
        <v>0</v>
      </c>
      <c r="Y85" s="41"/>
      <c r="Z85" s="67">
        <f t="shared" si="26"/>
        <v>0</v>
      </c>
      <c r="AA85" s="41"/>
      <c r="AB85" s="67">
        <f t="shared" si="27"/>
        <v>0</v>
      </c>
      <c r="AC85" s="41"/>
      <c r="AD85" s="67">
        <f t="shared" si="28"/>
        <v>0</v>
      </c>
      <c r="AE85" s="41"/>
      <c r="AF85" s="108">
        <f t="shared" si="29"/>
        <v>0</v>
      </c>
      <c r="AG85" s="127">
        <f t="shared" si="30"/>
        <v>180</v>
      </c>
    </row>
    <row r="86" spans="1:33" s="47" customFormat="1" ht="12.75" customHeight="1" x14ac:dyDescent="0.25">
      <c r="A86" s="338"/>
      <c r="B86" s="335"/>
      <c r="C86" s="38" t="s">
        <v>138</v>
      </c>
      <c r="D86" s="39" t="s">
        <v>34</v>
      </c>
      <c r="E86" s="50" t="s">
        <v>342</v>
      </c>
      <c r="F86" s="40" t="s">
        <v>404</v>
      </c>
      <c r="G86" s="110" t="s">
        <v>607</v>
      </c>
      <c r="H86" s="104"/>
      <c r="I86" s="104"/>
      <c r="J86" s="67">
        <v>47.4</v>
      </c>
      <c r="K86" s="104"/>
      <c r="L86" s="67">
        <v>43.6</v>
      </c>
      <c r="M86" s="104"/>
      <c r="N86" s="67">
        <v>29.7</v>
      </c>
      <c r="O86" s="104"/>
      <c r="P86" s="67">
        <v>19.5</v>
      </c>
      <c r="Q86" s="104"/>
      <c r="R86" s="67">
        <v>12</v>
      </c>
      <c r="S86" s="104"/>
      <c r="T86" s="67"/>
      <c r="U86" s="104"/>
      <c r="V86" s="67"/>
      <c r="W86" s="104"/>
      <c r="X86" s="67"/>
      <c r="Y86" s="104"/>
      <c r="Z86" s="67"/>
      <c r="AA86" s="104"/>
      <c r="AB86" s="67"/>
      <c r="AC86" s="104"/>
      <c r="AD86" s="67"/>
      <c r="AE86" s="104"/>
      <c r="AF86" s="108"/>
      <c r="AG86" s="127">
        <f t="shared" si="30"/>
        <v>152.19999999999999</v>
      </c>
    </row>
    <row r="87" spans="1:33" s="47" customFormat="1" ht="12.75" customHeight="1" x14ac:dyDescent="0.25">
      <c r="A87" s="339"/>
      <c r="B87" s="336"/>
      <c r="C87" s="38" t="s">
        <v>138</v>
      </c>
      <c r="D87" s="39" t="s">
        <v>34</v>
      </c>
      <c r="E87" s="50" t="s">
        <v>337</v>
      </c>
      <c r="F87" s="40" t="s">
        <v>405</v>
      </c>
      <c r="G87" s="110" t="s">
        <v>536</v>
      </c>
      <c r="H87" s="41">
        <v>1844</v>
      </c>
      <c r="I87" s="41">
        <v>1886</v>
      </c>
      <c r="J87" s="67">
        <f t="shared" si="18"/>
        <v>42</v>
      </c>
      <c r="K87" s="41">
        <v>1931</v>
      </c>
      <c r="L87" s="67">
        <f t="shared" si="19"/>
        <v>45</v>
      </c>
      <c r="M87" s="41">
        <v>1980</v>
      </c>
      <c r="N87" s="67">
        <f t="shared" si="20"/>
        <v>49</v>
      </c>
      <c r="O87" s="41">
        <v>2036</v>
      </c>
      <c r="P87" s="67">
        <f t="shared" si="21"/>
        <v>56</v>
      </c>
      <c r="Q87" s="41">
        <v>2084</v>
      </c>
      <c r="R87" s="67">
        <f t="shared" si="22"/>
        <v>48</v>
      </c>
      <c r="S87" s="41"/>
      <c r="T87" s="67">
        <f t="shared" si="23"/>
        <v>0</v>
      </c>
      <c r="U87" s="41"/>
      <c r="V87" s="67">
        <f t="shared" si="24"/>
        <v>0</v>
      </c>
      <c r="W87" s="41"/>
      <c r="X87" s="67">
        <f t="shared" si="25"/>
        <v>0</v>
      </c>
      <c r="Y87" s="41"/>
      <c r="Z87" s="67">
        <f t="shared" si="26"/>
        <v>0</v>
      </c>
      <c r="AA87" s="41"/>
      <c r="AB87" s="67">
        <f t="shared" si="27"/>
        <v>0</v>
      </c>
      <c r="AC87" s="41"/>
      <c r="AD87" s="67">
        <f t="shared" si="28"/>
        <v>0</v>
      </c>
      <c r="AE87" s="41"/>
      <c r="AF87" s="108">
        <f t="shared" si="29"/>
        <v>0</v>
      </c>
      <c r="AG87" s="127">
        <f t="shared" si="30"/>
        <v>240</v>
      </c>
    </row>
    <row r="88" spans="1:33" ht="12.75" customHeight="1" x14ac:dyDescent="0.25">
      <c r="A88" s="337" t="s">
        <v>261</v>
      </c>
      <c r="B88" s="334" t="s">
        <v>15</v>
      </c>
      <c r="C88" s="38" t="s">
        <v>15</v>
      </c>
      <c r="D88" s="39" t="s">
        <v>37</v>
      </c>
      <c r="E88" s="50" t="s">
        <v>348</v>
      </c>
      <c r="F88" s="40" t="s">
        <v>406</v>
      </c>
      <c r="G88" s="110" t="s">
        <v>414</v>
      </c>
      <c r="H88" s="41">
        <v>28002</v>
      </c>
      <c r="I88" s="41">
        <v>28611</v>
      </c>
      <c r="J88" s="67">
        <f t="shared" si="18"/>
        <v>609</v>
      </c>
      <c r="K88" s="41">
        <v>28886</v>
      </c>
      <c r="L88" s="67">
        <f t="shared" si="19"/>
        <v>275</v>
      </c>
      <c r="M88" s="41">
        <v>29222</v>
      </c>
      <c r="N88" s="67">
        <f t="shared" si="20"/>
        <v>336</v>
      </c>
      <c r="O88" s="41">
        <v>29549</v>
      </c>
      <c r="P88" s="67">
        <f t="shared" si="21"/>
        <v>327</v>
      </c>
      <c r="Q88" s="41">
        <v>29833</v>
      </c>
      <c r="R88" s="67">
        <f t="shared" si="22"/>
        <v>284</v>
      </c>
      <c r="S88" s="41"/>
      <c r="T88" s="67">
        <f t="shared" si="23"/>
        <v>0</v>
      </c>
      <c r="U88" s="41"/>
      <c r="V88" s="67">
        <f t="shared" si="24"/>
        <v>0</v>
      </c>
      <c r="W88" s="41"/>
      <c r="X88" s="67">
        <f t="shared" si="25"/>
        <v>0</v>
      </c>
      <c r="Y88" s="41"/>
      <c r="Z88" s="67">
        <f t="shared" si="26"/>
        <v>0</v>
      </c>
      <c r="AA88" s="41"/>
      <c r="AB88" s="67">
        <f t="shared" si="27"/>
        <v>0</v>
      </c>
      <c r="AC88" s="41"/>
      <c r="AD88" s="67">
        <f t="shared" si="28"/>
        <v>0</v>
      </c>
      <c r="AE88" s="41"/>
      <c r="AF88" s="108">
        <f t="shared" si="29"/>
        <v>0</v>
      </c>
      <c r="AG88" s="127">
        <f t="shared" si="30"/>
        <v>1831</v>
      </c>
    </row>
    <row r="89" spans="1:33" ht="12.75" customHeight="1" x14ac:dyDescent="0.25">
      <c r="A89" s="338"/>
      <c r="B89" s="335"/>
      <c r="C89" s="38" t="s">
        <v>15</v>
      </c>
      <c r="D89" s="39" t="s">
        <v>37</v>
      </c>
      <c r="E89" s="50" t="s">
        <v>363</v>
      </c>
      <c r="F89" s="40" t="s">
        <v>406</v>
      </c>
      <c r="G89" s="110" t="s">
        <v>414</v>
      </c>
      <c r="H89" s="41">
        <v>3614</v>
      </c>
      <c r="I89" s="41">
        <v>3634</v>
      </c>
      <c r="J89" s="67">
        <f t="shared" si="18"/>
        <v>20</v>
      </c>
      <c r="K89" s="41">
        <v>3668</v>
      </c>
      <c r="L89" s="67">
        <f t="shared" si="19"/>
        <v>34</v>
      </c>
      <c r="M89" s="41">
        <v>3705</v>
      </c>
      <c r="N89" s="67">
        <f t="shared" si="20"/>
        <v>37</v>
      </c>
      <c r="O89" s="41">
        <v>3743</v>
      </c>
      <c r="P89" s="67">
        <f t="shared" si="21"/>
        <v>38</v>
      </c>
      <c r="Q89" s="41">
        <v>3786</v>
      </c>
      <c r="R89" s="67">
        <f t="shared" si="22"/>
        <v>43</v>
      </c>
      <c r="S89" s="41"/>
      <c r="T89" s="67">
        <f t="shared" si="23"/>
        <v>0</v>
      </c>
      <c r="U89" s="41"/>
      <c r="V89" s="67">
        <f t="shared" si="24"/>
        <v>0</v>
      </c>
      <c r="W89" s="41"/>
      <c r="X89" s="67">
        <f t="shared" si="25"/>
        <v>0</v>
      </c>
      <c r="Y89" s="41"/>
      <c r="Z89" s="67">
        <f t="shared" si="26"/>
        <v>0</v>
      </c>
      <c r="AA89" s="41"/>
      <c r="AB89" s="67">
        <f t="shared" si="27"/>
        <v>0</v>
      </c>
      <c r="AC89" s="41"/>
      <c r="AD89" s="67">
        <f t="shared" si="28"/>
        <v>0</v>
      </c>
      <c r="AE89" s="41"/>
      <c r="AF89" s="108">
        <f t="shared" si="29"/>
        <v>0</v>
      </c>
      <c r="AG89" s="127">
        <f t="shared" si="30"/>
        <v>172</v>
      </c>
    </row>
    <row r="90" spans="1:33" ht="12.75" customHeight="1" x14ac:dyDescent="0.25">
      <c r="A90" s="338"/>
      <c r="B90" s="335"/>
      <c r="C90" s="38" t="s">
        <v>15</v>
      </c>
      <c r="D90" s="39" t="s">
        <v>37</v>
      </c>
      <c r="E90" s="50" t="s">
        <v>348</v>
      </c>
      <c r="F90" s="40" t="s">
        <v>407</v>
      </c>
      <c r="G90" s="110" t="s">
        <v>413</v>
      </c>
      <c r="H90" s="41">
        <v>86805</v>
      </c>
      <c r="I90" s="41">
        <v>87354</v>
      </c>
      <c r="J90" s="67">
        <f t="shared" si="18"/>
        <v>549</v>
      </c>
      <c r="K90" s="41">
        <v>88041</v>
      </c>
      <c r="L90" s="67">
        <f t="shared" si="19"/>
        <v>687</v>
      </c>
      <c r="M90" s="41">
        <v>88839</v>
      </c>
      <c r="N90" s="67">
        <f t="shared" si="20"/>
        <v>798</v>
      </c>
      <c r="O90" s="41">
        <v>89672</v>
      </c>
      <c r="P90" s="67">
        <f t="shared" si="21"/>
        <v>833</v>
      </c>
      <c r="Q90" s="41">
        <v>90532</v>
      </c>
      <c r="R90" s="67">
        <f t="shared" si="22"/>
        <v>860</v>
      </c>
      <c r="S90" s="41"/>
      <c r="T90" s="67">
        <f t="shared" si="23"/>
        <v>0</v>
      </c>
      <c r="U90" s="41"/>
      <c r="V90" s="67">
        <f t="shared" si="24"/>
        <v>0</v>
      </c>
      <c r="W90" s="41"/>
      <c r="X90" s="67">
        <f t="shared" si="25"/>
        <v>0</v>
      </c>
      <c r="Y90" s="41"/>
      <c r="Z90" s="67">
        <f t="shared" si="26"/>
        <v>0</v>
      </c>
      <c r="AA90" s="41"/>
      <c r="AB90" s="67">
        <f t="shared" si="27"/>
        <v>0</v>
      </c>
      <c r="AC90" s="41"/>
      <c r="AD90" s="67">
        <f t="shared" si="28"/>
        <v>0</v>
      </c>
      <c r="AE90" s="41"/>
      <c r="AF90" s="108">
        <f t="shared" si="29"/>
        <v>0</v>
      </c>
      <c r="AG90" s="127">
        <f t="shared" si="30"/>
        <v>3727</v>
      </c>
    </row>
    <row r="91" spans="1:33" ht="12.75" customHeight="1" x14ac:dyDescent="0.25">
      <c r="A91" s="338"/>
      <c r="B91" s="335"/>
      <c r="C91" s="38" t="s">
        <v>15</v>
      </c>
      <c r="D91" s="39" t="s">
        <v>37</v>
      </c>
      <c r="E91" s="50" t="s">
        <v>348</v>
      </c>
      <c r="F91" s="40" t="s">
        <v>408</v>
      </c>
      <c r="G91" s="110" t="s">
        <v>412</v>
      </c>
      <c r="H91" s="41">
        <v>27490</v>
      </c>
      <c r="I91" s="41">
        <v>28089</v>
      </c>
      <c r="J91" s="67">
        <f t="shared" si="18"/>
        <v>599</v>
      </c>
      <c r="K91" s="41">
        <v>28438</v>
      </c>
      <c r="L91" s="67">
        <f t="shared" si="19"/>
        <v>349</v>
      </c>
      <c r="M91" s="41">
        <v>28780</v>
      </c>
      <c r="N91" s="67">
        <f t="shared" si="20"/>
        <v>342</v>
      </c>
      <c r="O91" s="41">
        <v>29135</v>
      </c>
      <c r="P91" s="67">
        <f t="shared" si="21"/>
        <v>355</v>
      </c>
      <c r="Q91" s="41">
        <v>29460</v>
      </c>
      <c r="R91" s="67">
        <f t="shared" si="22"/>
        <v>325</v>
      </c>
      <c r="S91" s="41"/>
      <c r="T91" s="67">
        <f t="shared" si="23"/>
        <v>0</v>
      </c>
      <c r="U91" s="41"/>
      <c r="V91" s="67">
        <f t="shared" si="24"/>
        <v>0</v>
      </c>
      <c r="W91" s="41"/>
      <c r="X91" s="67">
        <f t="shared" si="25"/>
        <v>0</v>
      </c>
      <c r="Y91" s="41"/>
      <c r="Z91" s="67">
        <f t="shared" si="26"/>
        <v>0</v>
      </c>
      <c r="AA91" s="41"/>
      <c r="AB91" s="67">
        <f t="shared" si="27"/>
        <v>0</v>
      </c>
      <c r="AC91" s="41"/>
      <c r="AD91" s="67">
        <f t="shared" si="28"/>
        <v>0</v>
      </c>
      <c r="AE91" s="41"/>
      <c r="AF91" s="108">
        <f t="shared" si="29"/>
        <v>0</v>
      </c>
      <c r="AG91" s="127">
        <f t="shared" si="30"/>
        <v>1970</v>
      </c>
    </row>
    <row r="92" spans="1:33" ht="12.75" customHeight="1" x14ac:dyDescent="0.25">
      <c r="A92" s="338"/>
      <c r="B92" s="335"/>
      <c r="C92" s="38" t="s">
        <v>15</v>
      </c>
      <c r="D92" s="39" t="s">
        <v>37</v>
      </c>
      <c r="E92" s="50" t="s">
        <v>304</v>
      </c>
      <c r="F92" s="40" t="s">
        <v>385</v>
      </c>
      <c r="G92" s="110" t="s">
        <v>411</v>
      </c>
      <c r="H92" s="41">
        <v>926.36099999999999</v>
      </c>
      <c r="I92" s="41">
        <v>1022</v>
      </c>
      <c r="J92" s="67">
        <f t="shared" si="18"/>
        <v>95.63900000000001</v>
      </c>
      <c r="K92" s="41">
        <v>1054</v>
      </c>
      <c r="L92" s="67">
        <f t="shared" si="19"/>
        <v>32</v>
      </c>
      <c r="M92" s="41">
        <v>1096</v>
      </c>
      <c r="N92" s="67">
        <f t="shared" si="20"/>
        <v>42</v>
      </c>
      <c r="O92" s="41">
        <v>1136</v>
      </c>
      <c r="P92" s="67">
        <f t="shared" si="21"/>
        <v>40</v>
      </c>
      <c r="Q92" s="41">
        <v>1175</v>
      </c>
      <c r="R92" s="67">
        <f t="shared" si="22"/>
        <v>39</v>
      </c>
      <c r="S92" s="41"/>
      <c r="T92" s="67">
        <f t="shared" si="23"/>
        <v>0</v>
      </c>
      <c r="U92" s="41"/>
      <c r="V92" s="67">
        <f t="shared" si="24"/>
        <v>0</v>
      </c>
      <c r="W92" s="41"/>
      <c r="X92" s="67">
        <f t="shared" si="25"/>
        <v>0</v>
      </c>
      <c r="Y92" s="41"/>
      <c r="Z92" s="67">
        <f t="shared" si="26"/>
        <v>0</v>
      </c>
      <c r="AA92" s="41"/>
      <c r="AB92" s="67">
        <f t="shared" si="27"/>
        <v>0</v>
      </c>
      <c r="AC92" s="41"/>
      <c r="AD92" s="67">
        <f t="shared" si="28"/>
        <v>0</v>
      </c>
      <c r="AE92" s="41"/>
      <c r="AF92" s="108">
        <f t="shared" si="29"/>
        <v>0</v>
      </c>
      <c r="AG92" s="127">
        <f t="shared" si="30"/>
        <v>248.63900000000001</v>
      </c>
    </row>
    <row r="93" spans="1:33" ht="12.75" customHeight="1" x14ac:dyDescent="0.25">
      <c r="A93" s="338"/>
      <c r="B93" s="335"/>
      <c r="C93" s="38" t="s">
        <v>15</v>
      </c>
      <c r="D93" s="39" t="s">
        <v>37</v>
      </c>
      <c r="E93" s="50" t="s">
        <v>342</v>
      </c>
      <c r="F93" s="40" t="s">
        <v>634</v>
      </c>
      <c r="G93" s="110" t="s">
        <v>613</v>
      </c>
      <c r="H93" s="104"/>
      <c r="I93" s="104"/>
      <c r="J93" s="67">
        <v>64.89</v>
      </c>
      <c r="K93" s="104"/>
      <c r="L93" s="67">
        <v>63.94</v>
      </c>
      <c r="M93" s="104"/>
      <c r="N93" s="67">
        <v>42.58</v>
      </c>
      <c r="O93" s="104"/>
      <c r="P93" s="67">
        <v>26.23</v>
      </c>
      <c r="Q93" s="104"/>
      <c r="R93" s="67">
        <v>14.66</v>
      </c>
      <c r="S93" s="104"/>
      <c r="T93" s="67"/>
      <c r="U93" s="104"/>
      <c r="V93" s="67"/>
      <c r="W93" s="104"/>
      <c r="X93" s="67"/>
      <c r="Y93" s="104"/>
      <c r="Z93" s="67"/>
      <c r="AA93" s="104"/>
      <c r="AB93" s="67"/>
      <c r="AC93" s="104"/>
      <c r="AD93" s="67"/>
      <c r="AE93" s="104"/>
      <c r="AF93" s="108"/>
      <c r="AG93" s="127">
        <f t="shared" si="30"/>
        <v>212.29999999999995</v>
      </c>
    </row>
    <row r="94" spans="1:33" ht="12.75" customHeight="1" x14ac:dyDescent="0.25">
      <c r="A94" s="339"/>
      <c r="B94" s="336"/>
      <c r="C94" s="38" t="s">
        <v>15</v>
      </c>
      <c r="D94" s="39" t="s">
        <v>37</v>
      </c>
      <c r="E94" s="50" t="s">
        <v>337</v>
      </c>
      <c r="F94" s="40" t="s">
        <v>409</v>
      </c>
      <c r="G94" s="110" t="s">
        <v>410</v>
      </c>
      <c r="H94" s="41">
        <v>2153</v>
      </c>
      <c r="I94" s="41">
        <v>2207</v>
      </c>
      <c r="J94" s="67">
        <f t="shared" si="18"/>
        <v>54</v>
      </c>
      <c r="K94" s="41">
        <v>2254</v>
      </c>
      <c r="L94" s="67">
        <f t="shared" si="19"/>
        <v>47</v>
      </c>
      <c r="M94" s="41">
        <v>2318</v>
      </c>
      <c r="N94" s="67">
        <f t="shared" si="20"/>
        <v>64</v>
      </c>
      <c r="O94" s="41">
        <v>2390</v>
      </c>
      <c r="P94" s="67">
        <f t="shared" si="21"/>
        <v>72</v>
      </c>
      <c r="Q94" s="61">
        <v>2448</v>
      </c>
      <c r="R94" s="67">
        <f t="shared" si="22"/>
        <v>58</v>
      </c>
      <c r="S94" s="61"/>
      <c r="T94" s="67">
        <f t="shared" si="23"/>
        <v>0</v>
      </c>
      <c r="U94" s="61"/>
      <c r="V94" s="67">
        <f t="shared" si="24"/>
        <v>0</v>
      </c>
      <c r="W94" s="61"/>
      <c r="X94" s="67">
        <f t="shared" si="25"/>
        <v>0</v>
      </c>
      <c r="Y94" s="61"/>
      <c r="Z94" s="67">
        <f t="shared" si="26"/>
        <v>0</v>
      </c>
      <c r="AA94" s="61"/>
      <c r="AB94" s="67">
        <f t="shared" si="27"/>
        <v>0</v>
      </c>
      <c r="AC94" s="61"/>
      <c r="AD94" s="67">
        <f t="shared" si="28"/>
        <v>0</v>
      </c>
      <c r="AE94" s="61"/>
      <c r="AF94" s="108">
        <f t="shared" si="29"/>
        <v>0</v>
      </c>
      <c r="AG94" s="127">
        <f t="shared" si="30"/>
        <v>295</v>
      </c>
    </row>
    <row r="95" spans="1:33" ht="12.75" customHeight="1" x14ac:dyDescent="0.25">
      <c r="A95" s="359" t="s">
        <v>262</v>
      </c>
      <c r="B95" s="342" t="s">
        <v>16</v>
      </c>
      <c r="C95" s="57" t="s">
        <v>16</v>
      </c>
      <c r="D95" s="58" t="s">
        <v>237</v>
      </c>
      <c r="E95" s="59" t="s">
        <v>348</v>
      </c>
      <c r="F95" s="60" t="s">
        <v>343</v>
      </c>
      <c r="G95" s="115" t="s">
        <v>373</v>
      </c>
      <c r="H95" s="41">
        <v>80534</v>
      </c>
      <c r="I95" s="41">
        <v>82267</v>
      </c>
      <c r="J95" s="67">
        <f t="shared" si="18"/>
        <v>1733</v>
      </c>
      <c r="K95" s="41">
        <v>83600</v>
      </c>
      <c r="L95" s="67">
        <f t="shared" si="19"/>
        <v>1333</v>
      </c>
      <c r="M95" s="41">
        <v>84966</v>
      </c>
      <c r="N95" s="67">
        <f t="shared" si="20"/>
        <v>1366</v>
      </c>
      <c r="O95" s="41">
        <v>86162</v>
      </c>
      <c r="P95" s="67">
        <f t="shared" si="21"/>
        <v>1196</v>
      </c>
      <c r="Q95" s="41">
        <v>87297</v>
      </c>
      <c r="R95" s="67">
        <f t="shared" si="22"/>
        <v>1135</v>
      </c>
      <c r="S95" s="41"/>
      <c r="T95" s="67">
        <f t="shared" si="23"/>
        <v>0</v>
      </c>
      <c r="U95" s="41"/>
      <c r="V95" s="67">
        <f t="shared" si="24"/>
        <v>0</v>
      </c>
      <c r="W95" s="41"/>
      <c r="X95" s="67">
        <f t="shared" si="25"/>
        <v>0</v>
      </c>
      <c r="Y95" s="41"/>
      <c r="Z95" s="67">
        <f t="shared" si="26"/>
        <v>0</v>
      </c>
      <c r="AA95" s="41"/>
      <c r="AB95" s="67">
        <f t="shared" si="27"/>
        <v>0</v>
      </c>
      <c r="AC95" s="41"/>
      <c r="AD95" s="67">
        <f t="shared" si="28"/>
        <v>0</v>
      </c>
      <c r="AE95" s="41"/>
      <c r="AF95" s="108">
        <f t="shared" si="29"/>
        <v>0</v>
      </c>
      <c r="AG95" s="127">
        <f t="shared" si="30"/>
        <v>6763</v>
      </c>
    </row>
    <row r="96" spans="1:33" ht="12.75" customHeight="1" x14ac:dyDescent="0.25">
      <c r="A96" s="359"/>
      <c r="B96" s="342"/>
      <c r="C96" s="57" t="s">
        <v>16</v>
      </c>
      <c r="D96" s="58" t="s">
        <v>237</v>
      </c>
      <c r="E96" s="59" t="s">
        <v>304</v>
      </c>
      <c r="F96" s="60" t="s">
        <v>344</v>
      </c>
      <c r="G96" s="115" t="s">
        <v>372</v>
      </c>
      <c r="H96" s="41">
        <v>4820.0680000000002</v>
      </c>
      <c r="I96" s="41">
        <v>4907.4960000000001</v>
      </c>
      <c r="J96" s="67">
        <f t="shared" si="18"/>
        <v>87.427999999999884</v>
      </c>
      <c r="K96" s="41">
        <v>4963.9930000000004</v>
      </c>
      <c r="L96" s="67">
        <f t="shared" si="19"/>
        <v>56.497000000000298</v>
      </c>
      <c r="M96" s="41">
        <v>5015.9859999999999</v>
      </c>
      <c r="N96" s="67">
        <f t="shared" si="20"/>
        <v>51.992999999999483</v>
      </c>
      <c r="O96" s="41">
        <v>5069.2650000000003</v>
      </c>
      <c r="P96" s="67">
        <f t="shared" si="21"/>
        <v>53.279000000000451</v>
      </c>
      <c r="Q96" s="41">
        <v>5122.3500000000004</v>
      </c>
      <c r="R96" s="67">
        <f t="shared" si="22"/>
        <v>53.085000000000036</v>
      </c>
      <c r="S96" s="41"/>
      <c r="T96" s="67">
        <f t="shared" si="23"/>
        <v>0</v>
      </c>
      <c r="U96" s="41"/>
      <c r="V96" s="67">
        <f t="shared" si="24"/>
        <v>0</v>
      </c>
      <c r="W96" s="41"/>
      <c r="X96" s="67">
        <f t="shared" si="25"/>
        <v>0</v>
      </c>
      <c r="Y96" s="41"/>
      <c r="Z96" s="67">
        <f t="shared" si="26"/>
        <v>0</v>
      </c>
      <c r="AA96" s="41"/>
      <c r="AB96" s="67">
        <f t="shared" si="27"/>
        <v>0</v>
      </c>
      <c r="AC96" s="41"/>
      <c r="AD96" s="67">
        <f t="shared" si="28"/>
        <v>0</v>
      </c>
      <c r="AE96" s="41"/>
      <c r="AF96" s="108">
        <f t="shared" si="29"/>
        <v>0</v>
      </c>
      <c r="AG96" s="127">
        <f t="shared" si="30"/>
        <v>302.28200000000015</v>
      </c>
    </row>
    <row r="97" spans="1:33" ht="12.75" customHeight="1" x14ac:dyDescent="0.25">
      <c r="A97" s="359"/>
      <c r="B97" s="342"/>
      <c r="C97" s="57" t="s">
        <v>16</v>
      </c>
      <c r="D97" s="58" t="s">
        <v>237</v>
      </c>
      <c r="E97" s="59" t="s">
        <v>342</v>
      </c>
      <c r="F97" s="60" t="s">
        <v>635</v>
      </c>
      <c r="G97" s="115" t="s">
        <v>614</v>
      </c>
      <c r="H97" s="104"/>
      <c r="I97" s="104"/>
      <c r="J97" s="67">
        <v>49.4</v>
      </c>
      <c r="K97" s="104"/>
      <c r="L97" s="67">
        <v>48.98</v>
      </c>
      <c r="M97" s="104"/>
      <c r="N97" s="67">
        <v>32.49</v>
      </c>
      <c r="O97" s="104"/>
      <c r="P97" s="67">
        <v>18.72</v>
      </c>
      <c r="Q97" s="104"/>
      <c r="R97" s="67">
        <v>10.81</v>
      </c>
      <c r="S97" s="104"/>
      <c r="T97" s="67"/>
      <c r="U97" s="104"/>
      <c r="V97" s="67"/>
      <c r="W97" s="104"/>
      <c r="X97" s="67"/>
      <c r="Y97" s="104"/>
      <c r="Z97" s="67"/>
      <c r="AA97" s="104"/>
      <c r="AB97" s="67"/>
      <c r="AC97" s="104"/>
      <c r="AD97" s="67"/>
      <c r="AE97" s="104"/>
      <c r="AF97" s="108"/>
      <c r="AG97" s="127">
        <f t="shared" si="30"/>
        <v>160.4</v>
      </c>
    </row>
    <row r="98" spans="1:33" ht="12" customHeight="1" x14ac:dyDescent="0.25">
      <c r="A98" s="359"/>
      <c r="B98" s="342"/>
      <c r="C98" s="57" t="s">
        <v>16</v>
      </c>
      <c r="D98" s="58" t="s">
        <v>237</v>
      </c>
      <c r="E98" s="59" t="s">
        <v>337</v>
      </c>
      <c r="F98" s="60">
        <v>606014868</v>
      </c>
      <c r="G98" s="115" t="s">
        <v>697</v>
      </c>
      <c r="H98" s="41">
        <v>2897</v>
      </c>
      <c r="I98" s="41">
        <v>2945</v>
      </c>
      <c r="J98" s="67">
        <f t="shared" si="18"/>
        <v>48</v>
      </c>
      <c r="K98" s="41">
        <v>799</v>
      </c>
      <c r="L98" s="67">
        <f>2962-I98-776+K98</f>
        <v>40</v>
      </c>
      <c r="M98" s="41">
        <v>847</v>
      </c>
      <c r="N98" s="67">
        <f t="shared" si="20"/>
        <v>48</v>
      </c>
      <c r="O98" s="41">
        <v>891.6</v>
      </c>
      <c r="P98" s="67">
        <f t="shared" si="21"/>
        <v>44.600000000000023</v>
      </c>
      <c r="Q98" s="41">
        <v>935.4</v>
      </c>
      <c r="R98" s="67">
        <f t="shared" si="22"/>
        <v>43.799999999999955</v>
      </c>
      <c r="S98" s="41"/>
      <c r="T98" s="67">
        <f t="shared" si="23"/>
        <v>0</v>
      </c>
      <c r="U98" s="41"/>
      <c r="V98" s="67">
        <f t="shared" si="24"/>
        <v>0</v>
      </c>
      <c r="W98" s="41"/>
      <c r="X98" s="67">
        <f t="shared" si="25"/>
        <v>0</v>
      </c>
      <c r="Y98" s="41"/>
      <c r="Z98" s="67">
        <f t="shared" si="26"/>
        <v>0</v>
      </c>
      <c r="AA98" s="41"/>
      <c r="AB98" s="67">
        <f t="shared" si="27"/>
        <v>0</v>
      </c>
      <c r="AC98" s="41"/>
      <c r="AD98" s="67">
        <f t="shared" si="28"/>
        <v>0</v>
      </c>
      <c r="AE98" s="41"/>
      <c r="AF98" s="108">
        <f t="shared" si="29"/>
        <v>0</v>
      </c>
      <c r="AG98" s="127">
        <f t="shared" si="30"/>
        <v>224.39999999999998</v>
      </c>
    </row>
    <row r="99" spans="1:33" s="47" customFormat="1" ht="12.75" customHeight="1" x14ac:dyDescent="0.25">
      <c r="A99" s="338" t="s">
        <v>263</v>
      </c>
      <c r="B99" s="345" t="s">
        <v>1</v>
      </c>
      <c r="C99" s="57" t="s">
        <v>1</v>
      </c>
      <c r="D99" s="58" t="s">
        <v>38</v>
      </c>
      <c r="E99" s="59" t="s">
        <v>348</v>
      </c>
      <c r="F99" s="60" t="s">
        <v>374</v>
      </c>
      <c r="G99" s="115" t="s">
        <v>375</v>
      </c>
      <c r="H99" s="41">
        <v>293242.59999999998</v>
      </c>
      <c r="I99" s="41">
        <v>297538</v>
      </c>
      <c r="J99" s="67">
        <f t="shared" si="18"/>
        <v>4295.4000000000233</v>
      </c>
      <c r="K99" s="41">
        <v>300583</v>
      </c>
      <c r="L99" s="67">
        <f t="shared" si="19"/>
        <v>3045</v>
      </c>
      <c r="M99" s="41">
        <v>304130</v>
      </c>
      <c r="N99" s="67">
        <f t="shared" si="20"/>
        <v>3547</v>
      </c>
      <c r="O99" s="41">
        <v>307202</v>
      </c>
      <c r="P99" s="67">
        <f t="shared" si="21"/>
        <v>3072</v>
      </c>
      <c r="Q99" s="41">
        <v>309969</v>
      </c>
      <c r="R99" s="67">
        <f t="shared" si="22"/>
        <v>2767</v>
      </c>
      <c r="S99" s="41"/>
      <c r="T99" s="67">
        <f t="shared" si="23"/>
        <v>0</v>
      </c>
      <c r="U99" s="41"/>
      <c r="V99" s="67">
        <f t="shared" si="24"/>
        <v>0</v>
      </c>
      <c r="W99" s="41"/>
      <c r="X99" s="67">
        <f t="shared" si="25"/>
        <v>0</v>
      </c>
      <c r="Y99" s="41"/>
      <c r="Z99" s="67">
        <f t="shared" si="26"/>
        <v>0</v>
      </c>
      <c r="AA99" s="41"/>
      <c r="AB99" s="67">
        <f t="shared" si="27"/>
        <v>0</v>
      </c>
      <c r="AC99" s="41"/>
      <c r="AD99" s="67">
        <f t="shared" si="28"/>
        <v>0</v>
      </c>
      <c r="AE99" s="41"/>
      <c r="AF99" s="108">
        <f t="shared" si="29"/>
        <v>0</v>
      </c>
      <c r="AG99" s="127">
        <f t="shared" si="30"/>
        <v>16726.400000000023</v>
      </c>
    </row>
    <row r="100" spans="1:33" s="47" customFormat="1" ht="12.75" customHeight="1" x14ac:dyDescent="0.25">
      <c r="A100" s="338"/>
      <c r="B100" s="345"/>
      <c r="C100" s="57" t="s">
        <v>1</v>
      </c>
      <c r="D100" s="58" t="s">
        <v>38</v>
      </c>
      <c r="E100" s="59" t="s">
        <v>363</v>
      </c>
      <c r="F100" s="60" t="s">
        <v>374</v>
      </c>
      <c r="G100" s="115" t="s">
        <v>375</v>
      </c>
      <c r="H100" s="41">
        <v>62318.7</v>
      </c>
      <c r="I100" s="41">
        <v>63083</v>
      </c>
      <c r="J100" s="67">
        <f t="shared" si="18"/>
        <v>764.30000000000291</v>
      </c>
      <c r="K100" s="41">
        <v>63697</v>
      </c>
      <c r="L100" s="67">
        <f t="shared" si="19"/>
        <v>614</v>
      </c>
      <c r="M100" s="41">
        <v>64417</v>
      </c>
      <c r="N100" s="67">
        <f t="shared" si="20"/>
        <v>720</v>
      </c>
      <c r="O100" s="41">
        <v>65108</v>
      </c>
      <c r="P100" s="67">
        <f t="shared" si="21"/>
        <v>691</v>
      </c>
      <c r="Q100" s="41">
        <v>65822</v>
      </c>
      <c r="R100" s="67">
        <f t="shared" si="22"/>
        <v>714</v>
      </c>
      <c r="S100" s="41"/>
      <c r="T100" s="67">
        <f t="shared" si="23"/>
        <v>0</v>
      </c>
      <c r="U100" s="41"/>
      <c r="V100" s="67">
        <f t="shared" si="24"/>
        <v>0</v>
      </c>
      <c r="W100" s="41"/>
      <c r="X100" s="67">
        <f t="shared" si="25"/>
        <v>0</v>
      </c>
      <c r="Y100" s="41"/>
      <c r="Z100" s="67">
        <f t="shared" si="26"/>
        <v>0</v>
      </c>
      <c r="AA100" s="41"/>
      <c r="AB100" s="67">
        <f t="shared" si="27"/>
        <v>0</v>
      </c>
      <c r="AC100" s="41"/>
      <c r="AD100" s="67">
        <f t="shared" si="28"/>
        <v>0</v>
      </c>
      <c r="AE100" s="41"/>
      <c r="AF100" s="108">
        <f t="shared" si="29"/>
        <v>0</v>
      </c>
      <c r="AG100" s="127">
        <f t="shared" si="30"/>
        <v>3503.3000000000029</v>
      </c>
    </row>
    <row r="101" spans="1:33" s="47" customFormat="1" ht="12.75" customHeight="1" x14ac:dyDescent="0.25">
      <c r="A101" s="338"/>
      <c r="B101" s="345"/>
      <c r="C101" s="57" t="s">
        <v>1</v>
      </c>
      <c r="D101" s="58" t="s">
        <v>38</v>
      </c>
      <c r="E101" s="59" t="s">
        <v>342</v>
      </c>
      <c r="F101" s="60" t="s">
        <v>636</v>
      </c>
      <c r="G101" s="115" t="s">
        <v>615</v>
      </c>
      <c r="H101" s="104"/>
      <c r="I101" s="104"/>
      <c r="J101" s="67">
        <v>172.2</v>
      </c>
      <c r="K101" s="104"/>
      <c r="L101" s="67">
        <v>122.6</v>
      </c>
      <c r="M101" s="104"/>
      <c r="N101" s="67">
        <v>93.7</v>
      </c>
      <c r="O101" s="104"/>
      <c r="P101" s="67">
        <v>36</v>
      </c>
      <c r="Q101" s="104"/>
      <c r="R101" s="67">
        <v>15.6</v>
      </c>
      <c r="S101" s="104"/>
      <c r="T101" s="67"/>
      <c r="U101" s="104"/>
      <c r="V101" s="67"/>
      <c r="W101" s="104"/>
      <c r="X101" s="67"/>
      <c r="Y101" s="104"/>
      <c r="Z101" s="67"/>
      <c r="AA101" s="104"/>
      <c r="AB101" s="67"/>
      <c r="AC101" s="104"/>
      <c r="AD101" s="67"/>
      <c r="AE101" s="104"/>
      <c r="AF101" s="108"/>
      <c r="AG101" s="127">
        <f t="shared" si="30"/>
        <v>440.09999999999997</v>
      </c>
    </row>
    <row r="102" spans="1:33" s="47" customFormat="1" ht="12.75" customHeight="1" x14ac:dyDescent="0.25">
      <c r="A102" s="338"/>
      <c r="B102" s="345"/>
      <c r="C102" s="57" t="s">
        <v>1</v>
      </c>
      <c r="D102" s="58" t="s">
        <v>38</v>
      </c>
      <c r="E102" s="59" t="s">
        <v>337</v>
      </c>
      <c r="F102" s="60">
        <v>606014320</v>
      </c>
      <c r="G102" s="115" t="s">
        <v>376</v>
      </c>
      <c r="H102" s="41">
        <v>578.83000000000004</v>
      </c>
      <c r="I102" s="41">
        <v>619.36699999999996</v>
      </c>
      <c r="J102" s="67">
        <f t="shared" si="18"/>
        <v>40.536999999999921</v>
      </c>
      <c r="K102" s="41">
        <v>662.75</v>
      </c>
      <c r="L102" s="67">
        <f t="shared" si="19"/>
        <v>43.383000000000038</v>
      </c>
      <c r="M102" s="41">
        <v>726.41</v>
      </c>
      <c r="N102" s="67">
        <f t="shared" si="20"/>
        <v>63.659999999999968</v>
      </c>
      <c r="O102" s="41">
        <v>780.28</v>
      </c>
      <c r="P102" s="67">
        <f t="shared" si="21"/>
        <v>53.870000000000005</v>
      </c>
      <c r="Q102" s="41">
        <v>827.90499999999997</v>
      </c>
      <c r="R102" s="67">
        <f t="shared" si="22"/>
        <v>47.625</v>
      </c>
      <c r="S102" s="41"/>
      <c r="T102" s="67">
        <f t="shared" si="23"/>
        <v>0</v>
      </c>
      <c r="U102" s="41"/>
      <c r="V102" s="67">
        <f t="shared" si="24"/>
        <v>0</v>
      </c>
      <c r="W102" s="41"/>
      <c r="X102" s="67">
        <f t="shared" si="25"/>
        <v>0</v>
      </c>
      <c r="Y102" s="41"/>
      <c r="Z102" s="67">
        <f t="shared" si="26"/>
        <v>0</v>
      </c>
      <c r="AA102" s="41"/>
      <c r="AB102" s="67">
        <f t="shared" si="27"/>
        <v>0</v>
      </c>
      <c r="AC102" s="41"/>
      <c r="AD102" s="67">
        <f t="shared" si="28"/>
        <v>0</v>
      </c>
      <c r="AE102" s="41"/>
      <c r="AF102" s="108">
        <f t="shared" si="29"/>
        <v>0</v>
      </c>
      <c r="AG102" s="127">
        <f t="shared" si="30"/>
        <v>249.07499999999993</v>
      </c>
    </row>
    <row r="103" spans="1:33" s="47" customFormat="1" ht="12.75" customHeight="1" x14ac:dyDescent="0.25">
      <c r="A103" s="338"/>
      <c r="B103" s="345"/>
      <c r="C103" s="57" t="s">
        <v>1</v>
      </c>
      <c r="D103" s="58" t="s">
        <v>38</v>
      </c>
      <c r="E103" s="59" t="s">
        <v>337</v>
      </c>
      <c r="F103" s="60">
        <v>606014469</v>
      </c>
      <c r="G103" s="110" t="s">
        <v>692</v>
      </c>
      <c r="H103" s="41">
        <v>473</v>
      </c>
      <c r="I103" s="41">
        <v>3.9020000000000001</v>
      </c>
      <c r="J103" s="67">
        <f>474-H103+I103</f>
        <v>4.9020000000000001</v>
      </c>
      <c r="K103" s="41">
        <v>8.7100000000000009</v>
      </c>
      <c r="L103" s="67">
        <f t="shared" si="19"/>
        <v>4.8080000000000007</v>
      </c>
      <c r="M103" s="41">
        <v>16.420000000000002</v>
      </c>
      <c r="N103" s="67">
        <f t="shared" si="20"/>
        <v>7.7100000000000009</v>
      </c>
      <c r="O103" s="41">
        <v>22.25</v>
      </c>
      <c r="P103" s="67">
        <f t="shared" si="21"/>
        <v>5.8299999999999983</v>
      </c>
      <c r="Q103" s="41">
        <v>26.123000000000001</v>
      </c>
      <c r="R103" s="67">
        <f t="shared" si="22"/>
        <v>3.8730000000000011</v>
      </c>
      <c r="S103" s="41"/>
      <c r="T103" s="67">
        <f t="shared" si="23"/>
        <v>0</v>
      </c>
      <c r="U103" s="41"/>
      <c r="V103" s="67">
        <f t="shared" si="24"/>
        <v>0</v>
      </c>
      <c r="W103" s="41"/>
      <c r="X103" s="67">
        <f t="shared" si="25"/>
        <v>0</v>
      </c>
      <c r="Y103" s="41"/>
      <c r="Z103" s="67">
        <f t="shared" si="26"/>
        <v>0</v>
      </c>
      <c r="AA103" s="41"/>
      <c r="AB103" s="67">
        <f t="shared" si="27"/>
        <v>0</v>
      </c>
      <c r="AC103" s="41"/>
      <c r="AD103" s="67">
        <f t="shared" si="28"/>
        <v>0</v>
      </c>
      <c r="AE103" s="41"/>
      <c r="AF103" s="108">
        <f t="shared" si="29"/>
        <v>0</v>
      </c>
      <c r="AG103" s="127">
        <f t="shared" si="30"/>
        <v>27.123000000000001</v>
      </c>
    </row>
    <row r="104" spans="1:33" ht="12.75" customHeight="1" x14ac:dyDescent="0.25">
      <c r="A104" s="337" t="s">
        <v>264</v>
      </c>
      <c r="B104" s="344" t="s">
        <v>7</v>
      </c>
      <c r="C104" s="57" t="s">
        <v>7</v>
      </c>
      <c r="D104" s="58" t="s">
        <v>11</v>
      </c>
      <c r="E104" s="59" t="s">
        <v>348</v>
      </c>
      <c r="F104" s="62" t="s">
        <v>365</v>
      </c>
      <c r="G104" s="116" t="s">
        <v>364</v>
      </c>
      <c r="H104" s="41">
        <v>75832</v>
      </c>
      <c r="I104" s="41">
        <v>77125</v>
      </c>
      <c r="J104" s="67">
        <f t="shared" si="18"/>
        <v>1293</v>
      </c>
      <c r="K104" s="41">
        <v>78016</v>
      </c>
      <c r="L104" s="67">
        <f t="shared" si="19"/>
        <v>891</v>
      </c>
      <c r="M104" s="41">
        <v>79019</v>
      </c>
      <c r="N104" s="67">
        <f t="shared" si="20"/>
        <v>1003</v>
      </c>
      <c r="O104" s="41">
        <v>79917</v>
      </c>
      <c r="P104" s="67">
        <f t="shared" si="21"/>
        <v>898</v>
      </c>
      <c r="Q104" s="41">
        <v>80640</v>
      </c>
      <c r="R104" s="67">
        <f t="shared" si="22"/>
        <v>723</v>
      </c>
      <c r="S104" s="41"/>
      <c r="T104" s="67">
        <f t="shared" si="23"/>
        <v>0</v>
      </c>
      <c r="U104" s="41"/>
      <c r="V104" s="67">
        <f t="shared" si="24"/>
        <v>0</v>
      </c>
      <c r="W104" s="41"/>
      <c r="X104" s="67">
        <f t="shared" si="25"/>
        <v>0</v>
      </c>
      <c r="Y104" s="41"/>
      <c r="Z104" s="67">
        <f t="shared" si="26"/>
        <v>0</v>
      </c>
      <c r="AA104" s="41"/>
      <c r="AB104" s="67">
        <f t="shared" si="27"/>
        <v>0</v>
      </c>
      <c r="AC104" s="41"/>
      <c r="AD104" s="67">
        <f t="shared" si="28"/>
        <v>0</v>
      </c>
      <c r="AE104" s="41"/>
      <c r="AF104" s="108">
        <f t="shared" si="29"/>
        <v>0</v>
      </c>
      <c r="AG104" s="127">
        <f t="shared" si="30"/>
        <v>4808</v>
      </c>
    </row>
    <row r="105" spans="1:33" ht="12.75" customHeight="1" x14ac:dyDescent="0.25">
      <c r="A105" s="338"/>
      <c r="B105" s="345"/>
      <c r="C105" s="57" t="s">
        <v>7</v>
      </c>
      <c r="D105" s="58" t="s">
        <v>11</v>
      </c>
      <c r="E105" s="59" t="s">
        <v>363</v>
      </c>
      <c r="F105" s="62" t="s">
        <v>365</v>
      </c>
      <c r="G105" s="116" t="s">
        <v>364</v>
      </c>
      <c r="H105" s="41">
        <v>16274</v>
      </c>
      <c r="I105" s="41">
        <v>16639</v>
      </c>
      <c r="J105" s="67">
        <f t="shared" si="18"/>
        <v>365</v>
      </c>
      <c r="K105" s="41">
        <v>16947</v>
      </c>
      <c r="L105" s="67">
        <f t="shared" si="19"/>
        <v>308</v>
      </c>
      <c r="M105" s="41">
        <v>17338</v>
      </c>
      <c r="N105" s="67">
        <f t="shared" si="20"/>
        <v>391</v>
      </c>
      <c r="O105" s="41">
        <v>17670</v>
      </c>
      <c r="P105" s="67">
        <f t="shared" si="21"/>
        <v>332</v>
      </c>
      <c r="Q105" s="41">
        <v>17986</v>
      </c>
      <c r="R105" s="67">
        <f t="shared" si="22"/>
        <v>316</v>
      </c>
      <c r="S105" s="41"/>
      <c r="T105" s="67">
        <f t="shared" si="23"/>
        <v>0</v>
      </c>
      <c r="U105" s="41"/>
      <c r="V105" s="67">
        <f t="shared" si="24"/>
        <v>0</v>
      </c>
      <c r="W105" s="41"/>
      <c r="X105" s="67">
        <f t="shared" si="25"/>
        <v>0</v>
      </c>
      <c r="Y105" s="41"/>
      <c r="Z105" s="67">
        <f t="shared" si="26"/>
        <v>0</v>
      </c>
      <c r="AA105" s="41"/>
      <c r="AB105" s="67">
        <f t="shared" si="27"/>
        <v>0</v>
      </c>
      <c r="AC105" s="41"/>
      <c r="AD105" s="67">
        <f t="shared" si="28"/>
        <v>0</v>
      </c>
      <c r="AE105" s="41"/>
      <c r="AF105" s="108">
        <f t="shared" si="29"/>
        <v>0</v>
      </c>
      <c r="AG105" s="127">
        <f t="shared" si="30"/>
        <v>1712</v>
      </c>
    </row>
    <row r="106" spans="1:33" ht="12.75" customHeight="1" x14ac:dyDescent="0.25">
      <c r="A106" s="338"/>
      <c r="B106" s="345"/>
      <c r="C106" s="57" t="s">
        <v>7</v>
      </c>
      <c r="D106" s="58" t="s">
        <v>11</v>
      </c>
      <c r="E106" s="59" t="s">
        <v>342</v>
      </c>
      <c r="F106" s="60">
        <v>11</v>
      </c>
      <c r="G106" s="115" t="s">
        <v>616</v>
      </c>
      <c r="H106" s="104"/>
      <c r="I106" s="104"/>
      <c r="J106" s="67">
        <v>189.34</v>
      </c>
      <c r="K106" s="104"/>
      <c r="L106" s="67">
        <v>144.22999999999999</v>
      </c>
      <c r="M106" s="104"/>
      <c r="N106" s="67">
        <v>99</v>
      </c>
      <c r="O106" s="104"/>
      <c r="P106" s="67">
        <v>49.48</v>
      </c>
      <c r="Q106" s="104"/>
      <c r="R106" s="67">
        <v>9.93</v>
      </c>
      <c r="S106" s="104"/>
      <c r="T106" s="67"/>
      <c r="U106" s="104"/>
      <c r="V106" s="67"/>
      <c r="W106" s="104"/>
      <c r="X106" s="67"/>
      <c r="Y106" s="104"/>
      <c r="Z106" s="67"/>
      <c r="AA106" s="104"/>
      <c r="AB106" s="67"/>
      <c r="AC106" s="104"/>
      <c r="AD106" s="67"/>
      <c r="AE106" s="104"/>
      <c r="AF106" s="108"/>
      <c r="AG106" s="127">
        <f t="shared" si="30"/>
        <v>491.98</v>
      </c>
    </row>
    <row r="107" spans="1:33" ht="12.75" customHeight="1" x14ac:dyDescent="0.25">
      <c r="A107" s="338"/>
      <c r="B107" s="345"/>
      <c r="C107" s="57" t="s">
        <v>7</v>
      </c>
      <c r="D107" s="58" t="s">
        <v>11</v>
      </c>
      <c r="E107" s="59" t="s">
        <v>337</v>
      </c>
      <c r="F107" s="60">
        <v>606014450</v>
      </c>
      <c r="G107" s="115" t="s">
        <v>366</v>
      </c>
      <c r="H107" s="41">
        <v>1643</v>
      </c>
      <c r="I107" s="41">
        <v>1677</v>
      </c>
      <c r="J107" s="67">
        <f t="shared" si="18"/>
        <v>34</v>
      </c>
      <c r="K107" s="41">
        <v>1705</v>
      </c>
      <c r="L107" s="67">
        <f t="shared" si="19"/>
        <v>28</v>
      </c>
      <c r="M107" s="41">
        <v>1746</v>
      </c>
      <c r="N107" s="67">
        <f t="shared" si="20"/>
        <v>41</v>
      </c>
      <c r="O107" s="41">
        <v>1784</v>
      </c>
      <c r="P107" s="67">
        <f t="shared" si="21"/>
        <v>38</v>
      </c>
      <c r="Q107" s="41">
        <v>1813.39</v>
      </c>
      <c r="R107" s="67">
        <f t="shared" si="22"/>
        <v>29.3900000000001</v>
      </c>
      <c r="S107" s="41"/>
      <c r="T107" s="67">
        <f t="shared" si="23"/>
        <v>0</v>
      </c>
      <c r="U107" s="41"/>
      <c r="V107" s="67">
        <f t="shared" si="24"/>
        <v>0</v>
      </c>
      <c r="W107" s="41"/>
      <c r="X107" s="67">
        <f t="shared" si="25"/>
        <v>0</v>
      </c>
      <c r="Y107" s="41"/>
      <c r="Z107" s="67">
        <f t="shared" si="26"/>
        <v>0</v>
      </c>
      <c r="AA107" s="41"/>
      <c r="AB107" s="67">
        <f t="shared" si="27"/>
        <v>0</v>
      </c>
      <c r="AC107" s="41"/>
      <c r="AD107" s="67">
        <f t="shared" si="28"/>
        <v>0</v>
      </c>
      <c r="AE107" s="41"/>
      <c r="AF107" s="108">
        <f t="shared" si="29"/>
        <v>0</v>
      </c>
      <c r="AG107" s="127">
        <f t="shared" si="30"/>
        <v>170.3900000000001</v>
      </c>
    </row>
    <row r="108" spans="1:33" ht="12.75" customHeight="1" x14ac:dyDescent="0.25">
      <c r="A108" s="337" t="s">
        <v>265</v>
      </c>
      <c r="B108" s="342" t="s">
        <v>10</v>
      </c>
      <c r="C108" s="57" t="s">
        <v>10</v>
      </c>
      <c r="D108" s="58" t="s">
        <v>35</v>
      </c>
      <c r="E108" s="59" t="s">
        <v>348</v>
      </c>
      <c r="F108" s="60" t="s">
        <v>395</v>
      </c>
      <c r="G108" s="115" t="s">
        <v>399</v>
      </c>
      <c r="H108" s="41">
        <v>83157</v>
      </c>
      <c r="I108" s="41">
        <v>87453</v>
      </c>
      <c r="J108" s="67">
        <f t="shared" si="18"/>
        <v>4296</v>
      </c>
      <c r="K108" s="41">
        <v>90345</v>
      </c>
      <c r="L108" s="67">
        <f t="shared" si="19"/>
        <v>2892</v>
      </c>
      <c r="M108" s="41">
        <v>94106</v>
      </c>
      <c r="N108" s="67">
        <f t="shared" si="20"/>
        <v>3761</v>
      </c>
      <c r="O108" s="41">
        <v>96857</v>
      </c>
      <c r="P108" s="67">
        <f t="shared" si="21"/>
        <v>2751</v>
      </c>
      <c r="Q108" s="41">
        <v>99392</v>
      </c>
      <c r="R108" s="67">
        <f t="shared" si="22"/>
        <v>2535</v>
      </c>
      <c r="S108" s="41"/>
      <c r="T108" s="67">
        <f t="shared" si="23"/>
        <v>0</v>
      </c>
      <c r="U108" s="41"/>
      <c r="V108" s="67">
        <f t="shared" si="24"/>
        <v>0</v>
      </c>
      <c r="W108" s="41"/>
      <c r="X108" s="67">
        <f t="shared" si="25"/>
        <v>0</v>
      </c>
      <c r="Y108" s="41"/>
      <c r="Z108" s="67">
        <f t="shared" si="26"/>
        <v>0</v>
      </c>
      <c r="AA108" s="41"/>
      <c r="AB108" s="67">
        <f t="shared" si="27"/>
        <v>0</v>
      </c>
      <c r="AC108" s="41"/>
      <c r="AD108" s="67">
        <f t="shared" si="28"/>
        <v>0</v>
      </c>
      <c r="AE108" s="41"/>
      <c r="AF108" s="108">
        <f t="shared" si="29"/>
        <v>0</v>
      </c>
      <c r="AG108" s="127">
        <f t="shared" si="30"/>
        <v>16235</v>
      </c>
    </row>
    <row r="109" spans="1:33" ht="12.75" customHeight="1" x14ac:dyDescent="0.25">
      <c r="A109" s="338"/>
      <c r="B109" s="342"/>
      <c r="C109" s="57" t="s">
        <v>10</v>
      </c>
      <c r="D109" s="58" t="s">
        <v>35</v>
      </c>
      <c r="E109" s="59" t="s">
        <v>363</v>
      </c>
      <c r="F109" s="60" t="s">
        <v>395</v>
      </c>
      <c r="G109" s="115" t="s">
        <v>399</v>
      </c>
      <c r="H109" s="41">
        <v>20482</v>
      </c>
      <c r="I109" s="41">
        <v>21610</v>
      </c>
      <c r="J109" s="67">
        <f t="shared" si="18"/>
        <v>1128</v>
      </c>
      <c r="K109" s="41">
        <v>22449</v>
      </c>
      <c r="L109" s="67">
        <f t="shared" si="19"/>
        <v>839</v>
      </c>
      <c r="M109" s="41">
        <v>23479</v>
      </c>
      <c r="N109" s="67">
        <f t="shared" si="20"/>
        <v>1030</v>
      </c>
      <c r="O109" s="41">
        <v>24230</v>
      </c>
      <c r="P109" s="67">
        <f t="shared" si="21"/>
        <v>751</v>
      </c>
      <c r="Q109" s="41">
        <v>24864</v>
      </c>
      <c r="R109" s="67">
        <f t="shared" si="22"/>
        <v>634</v>
      </c>
      <c r="S109" s="41"/>
      <c r="T109" s="67">
        <f t="shared" si="23"/>
        <v>0</v>
      </c>
      <c r="U109" s="41"/>
      <c r="V109" s="67">
        <f t="shared" si="24"/>
        <v>0</v>
      </c>
      <c r="W109" s="41"/>
      <c r="X109" s="67">
        <f t="shared" si="25"/>
        <v>0</v>
      </c>
      <c r="Y109" s="41"/>
      <c r="Z109" s="67">
        <f t="shared" si="26"/>
        <v>0</v>
      </c>
      <c r="AA109" s="41"/>
      <c r="AB109" s="67">
        <f t="shared" si="27"/>
        <v>0</v>
      </c>
      <c r="AC109" s="41"/>
      <c r="AD109" s="67">
        <f t="shared" si="28"/>
        <v>0</v>
      </c>
      <c r="AE109" s="41"/>
      <c r="AF109" s="108">
        <f t="shared" si="29"/>
        <v>0</v>
      </c>
      <c r="AG109" s="127">
        <f t="shared" si="30"/>
        <v>4382</v>
      </c>
    </row>
    <row r="110" spans="1:33" ht="12.75" customHeight="1" x14ac:dyDescent="0.25">
      <c r="A110" s="338"/>
      <c r="B110" s="342"/>
      <c r="C110" s="57" t="s">
        <v>10</v>
      </c>
      <c r="D110" s="58" t="s">
        <v>35</v>
      </c>
      <c r="E110" s="59" t="s">
        <v>342</v>
      </c>
      <c r="F110" s="60" t="s">
        <v>637</v>
      </c>
      <c r="G110" s="115" t="s">
        <v>617</v>
      </c>
      <c r="H110" s="104"/>
      <c r="I110" s="104"/>
      <c r="J110" s="67">
        <v>287.39999999999998</v>
      </c>
      <c r="K110" s="104"/>
      <c r="L110" s="67">
        <v>254</v>
      </c>
      <c r="M110" s="104"/>
      <c r="N110" s="67">
        <v>164.1</v>
      </c>
      <c r="O110" s="104"/>
      <c r="P110" s="67">
        <v>90.3</v>
      </c>
      <c r="Q110" s="104"/>
      <c r="R110" s="67">
        <v>50</v>
      </c>
      <c r="S110" s="104"/>
      <c r="T110" s="67"/>
      <c r="U110" s="104"/>
      <c r="V110" s="67"/>
      <c r="W110" s="104"/>
      <c r="X110" s="67"/>
      <c r="Y110" s="104"/>
      <c r="Z110" s="67"/>
      <c r="AA110" s="104"/>
      <c r="AB110" s="67"/>
      <c r="AC110" s="104"/>
      <c r="AD110" s="67"/>
      <c r="AE110" s="104"/>
      <c r="AF110" s="108"/>
      <c r="AG110" s="127">
        <f t="shared" si="30"/>
        <v>845.8</v>
      </c>
    </row>
    <row r="111" spans="1:33" ht="12.75" customHeight="1" x14ac:dyDescent="0.25">
      <c r="A111" s="338"/>
      <c r="B111" s="342"/>
      <c r="C111" s="57" t="s">
        <v>10</v>
      </c>
      <c r="D111" s="58" t="s">
        <v>35</v>
      </c>
      <c r="E111" s="59" t="s">
        <v>337</v>
      </c>
      <c r="F111" s="60" t="s">
        <v>393</v>
      </c>
      <c r="G111" s="115" t="s">
        <v>394</v>
      </c>
      <c r="H111" s="41">
        <v>14513.53</v>
      </c>
      <c r="I111" s="41">
        <v>14657.58</v>
      </c>
      <c r="J111" s="67">
        <f t="shared" si="18"/>
        <v>144.04999999999927</v>
      </c>
      <c r="K111" s="41">
        <v>14752.59</v>
      </c>
      <c r="L111" s="67">
        <f t="shared" si="19"/>
        <v>95.010000000000218</v>
      </c>
      <c r="M111" s="41">
        <v>14924.8</v>
      </c>
      <c r="N111" s="67">
        <f t="shared" si="20"/>
        <v>172.20999999999913</v>
      </c>
      <c r="O111" s="41">
        <v>15079.47</v>
      </c>
      <c r="P111" s="67">
        <f t="shared" si="21"/>
        <v>154.67000000000007</v>
      </c>
      <c r="Q111" s="41">
        <v>15229.61</v>
      </c>
      <c r="R111" s="67">
        <f t="shared" si="22"/>
        <v>150.14000000000124</v>
      </c>
      <c r="S111" s="41"/>
      <c r="T111" s="67">
        <f t="shared" si="23"/>
        <v>0</v>
      </c>
      <c r="U111" s="41"/>
      <c r="V111" s="67">
        <f t="shared" si="24"/>
        <v>0</v>
      </c>
      <c r="W111" s="41"/>
      <c r="X111" s="67">
        <f t="shared" si="25"/>
        <v>0</v>
      </c>
      <c r="Y111" s="41"/>
      <c r="Z111" s="67">
        <f t="shared" si="26"/>
        <v>0</v>
      </c>
      <c r="AA111" s="41"/>
      <c r="AB111" s="67">
        <f t="shared" si="27"/>
        <v>0</v>
      </c>
      <c r="AC111" s="41"/>
      <c r="AD111" s="67">
        <f t="shared" si="28"/>
        <v>0</v>
      </c>
      <c r="AE111" s="41"/>
      <c r="AF111" s="108">
        <f t="shared" si="29"/>
        <v>0</v>
      </c>
      <c r="AG111" s="127">
        <f t="shared" si="30"/>
        <v>716.07999999999993</v>
      </c>
    </row>
    <row r="112" spans="1:33" ht="12.75" customHeight="1" x14ac:dyDescent="0.25">
      <c r="A112" s="337" t="s">
        <v>266</v>
      </c>
      <c r="B112" s="342"/>
      <c r="C112" s="57" t="s">
        <v>27</v>
      </c>
      <c r="D112" s="58" t="s">
        <v>28</v>
      </c>
      <c r="E112" s="59" t="s">
        <v>348</v>
      </c>
      <c r="F112" s="60" t="s">
        <v>396</v>
      </c>
      <c r="G112" s="115" t="s">
        <v>400</v>
      </c>
      <c r="H112" s="41">
        <v>6497</v>
      </c>
      <c r="I112" s="41">
        <v>6779</v>
      </c>
      <c r="J112" s="67">
        <f t="shared" si="18"/>
        <v>282</v>
      </c>
      <c r="K112" s="41">
        <v>6968</v>
      </c>
      <c r="L112" s="67">
        <f t="shared" si="19"/>
        <v>189</v>
      </c>
      <c r="M112" s="41">
        <v>7199</v>
      </c>
      <c r="N112" s="67">
        <f t="shared" si="20"/>
        <v>231</v>
      </c>
      <c r="O112" s="41">
        <v>7386</v>
      </c>
      <c r="P112" s="67">
        <f t="shared" si="21"/>
        <v>187</v>
      </c>
      <c r="Q112" s="41">
        <v>7580</v>
      </c>
      <c r="R112" s="67">
        <f t="shared" si="22"/>
        <v>194</v>
      </c>
      <c r="S112" s="41"/>
      <c r="T112" s="67">
        <f t="shared" si="23"/>
        <v>0</v>
      </c>
      <c r="U112" s="41"/>
      <c r="V112" s="67">
        <f t="shared" si="24"/>
        <v>0</v>
      </c>
      <c r="W112" s="41"/>
      <c r="X112" s="67">
        <f t="shared" si="25"/>
        <v>0</v>
      </c>
      <c r="Y112" s="41"/>
      <c r="Z112" s="67">
        <f t="shared" si="26"/>
        <v>0</v>
      </c>
      <c r="AA112" s="41"/>
      <c r="AB112" s="67">
        <f t="shared" si="27"/>
        <v>0</v>
      </c>
      <c r="AC112" s="41"/>
      <c r="AD112" s="67">
        <f t="shared" si="28"/>
        <v>0</v>
      </c>
      <c r="AE112" s="41"/>
      <c r="AF112" s="108">
        <f t="shared" si="29"/>
        <v>0</v>
      </c>
      <c r="AG112" s="127">
        <f t="shared" si="30"/>
        <v>1083</v>
      </c>
    </row>
    <row r="113" spans="1:33" ht="12.75" customHeight="1" x14ac:dyDescent="0.25">
      <c r="A113" s="338"/>
      <c r="B113" s="342"/>
      <c r="C113" s="57" t="s">
        <v>27</v>
      </c>
      <c r="D113" s="58" t="s">
        <v>28</v>
      </c>
      <c r="E113" s="59" t="s">
        <v>348</v>
      </c>
      <c r="F113" s="60" t="s">
        <v>397</v>
      </c>
      <c r="G113" s="115" t="s">
        <v>539</v>
      </c>
      <c r="H113" s="41">
        <v>1285</v>
      </c>
      <c r="I113" s="41">
        <v>1377</v>
      </c>
      <c r="J113" s="67">
        <f t="shared" si="18"/>
        <v>92</v>
      </c>
      <c r="K113" s="41">
        <v>1470</v>
      </c>
      <c r="L113" s="67">
        <f t="shared" si="19"/>
        <v>93</v>
      </c>
      <c r="M113" s="41">
        <v>1536</v>
      </c>
      <c r="N113" s="67">
        <f t="shared" si="20"/>
        <v>66</v>
      </c>
      <c r="O113" s="41">
        <v>1585</v>
      </c>
      <c r="P113" s="67">
        <f t="shared" si="21"/>
        <v>49</v>
      </c>
      <c r="Q113" s="41">
        <v>1601</v>
      </c>
      <c r="R113" s="67">
        <f t="shared" si="22"/>
        <v>16</v>
      </c>
      <c r="S113" s="41"/>
      <c r="T113" s="67">
        <f t="shared" si="23"/>
        <v>0</v>
      </c>
      <c r="U113" s="41"/>
      <c r="V113" s="67">
        <f t="shared" si="24"/>
        <v>0</v>
      </c>
      <c r="W113" s="41"/>
      <c r="X113" s="67">
        <f t="shared" si="25"/>
        <v>0</v>
      </c>
      <c r="Y113" s="41"/>
      <c r="Z113" s="67">
        <f t="shared" si="26"/>
        <v>0</v>
      </c>
      <c r="AA113" s="41"/>
      <c r="AB113" s="67">
        <f t="shared" si="27"/>
        <v>0</v>
      </c>
      <c r="AC113" s="41"/>
      <c r="AD113" s="67">
        <f t="shared" si="28"/>
        <v>0</v>
      </c>
      <c r="AE113" s="41"/>
      <c r="AF113" s="108">
        <f t="shared" si="29"/>
        <v>0</v>
      </c>
      <c r="AG113" s="127">
        <f t="shared" si="30"/>
        <v>316</v>
      </c>
    </row>
    <row r="114" spans="1:33" ht="12.75" customHeight="1" x14ac:dyDescent="0.25">
      <c r="A114" s="338"/>
      <c r="B114" s="342"/>
      <c r="C114" s="57" t="s">
        <v>27</v>
      </c>
      <c r="D114" s="58" t="s">
        <v>28</v>
      </c>
      <c r="E114" s="59" t="s">
        <v>348</v>
      </c>
      <c r="F114" s="60" t="s">
        <v>398</v>
      </c>
      <c r="G114" s="115" t="s">
        <v>540</v>
      </c>
      <c r="H114" s="41">
        <v>1413</v>
      </c>
      <c r="I114" s="41">
        <v>1514</v>
      </c>
      <c r="J114" s="67">
        <f t="shared" si="18"/>
        <v>101</v>
      </c>
      <c r="K114" s="41">
        <v>1576</v>
      </c>
      <c r="L114" s="67">
        <f t="shared" si="19"/>
        <v>62</v>
      </c>
      <c r="M114" s="41">
        <v>1651</v>
      </c>
      <c r="N114" s="67">
        <f t="shared" si="20"/>
        <v>75</v>
      </c>
      <c r="O114" s="41">
        <v>1711</v>
      </c>
      <c r="P114" s="67">
        <f t="shared" si="21"/>
        <v>60</v>
      </c>
      <c r="Q114" s="41">
        <v>1768</v>
      </c>
      <c r="R114" s="67">
        <f t="shared" si="22"/>
        <v>57</v>
      </c>
      <c r="S114" s="41"/>
      <c r="T114" s="67">
        <f t="shared" si="23"/>
        <v>0</v>
      </c>
      <c r="U114" s="41"/>
      <c r="V114" s="67">
        <f t="shared" si="24"/>
        <v>0</v>
      </c>
      <c r="W114" s="41"/>
      <c r="X114" s="67">
        <f t="shared" si="25"/>
        <v>0</v>
      </c>
      <c r="Y114" s="41"/>
      <c r="Z114" s="67">
        <f t="shared" si="26"/>
        <v>0</v>
      </c>
      <c r="AA114" s="41"/>
      <c r="AB114" s="67">
        <f t="shared" si="27"/>
        <v>0</v>
      </c>
      <c r="AC114" s="41"/>
      <c r="AD114" s="67">
        <f t="shared" si="28"/>
        <v>0</v>
      </c>
      <c r="AE114" s="41"/>
      <c r="AF114" s="108">
        <f t="shared" si="29"/>
        <v>0</v>
      </c>
      <c r="AG114" s="127">
        <f t="shared" si="30"/>
        <v>355</v>
      </c>
    </row>
    <row r="115" spans="1:33" ht="12.75" customHeight="1" x14ac:dyDescent="0.25">
      <c r="A115" s="338"/>
      <c r="B115" s="342"/>
      <c r="C115" s="57" t="s">
        <v>27</v>
      </c>
      <c r="D115" s="58" t="s">
        <v>28</v>
      </c>
      <c r="E115" s="59" t="s">
        <v>304</v>
      </c>
      <c r="F115" s="60" t="s">
        <v>381</v>
      </c>
      <c r="G115" s="115" t="s">
        <v>390</v>
      </c>
      <c r="H115" s="41">
        <v>1692.1379999999999</v>
      </c>
      <c r="I115" s="41">
        <v>1881.6669999999999</v>
      </c>
      <c r="J115" s="67">
        <f t="shared" si="18"/>
        <v>189.529</v>
      </c>
      <c r="K115" s="41">
        <v>2019.9690000000001</v>
      </c>
      <c r="L115" s="67">
        <f t="shared" si="19"/>
        <v>138.30200000000013</v>
      </c>
      <c r="M115" s="41">
        <v>2144.5279999999998</v>
      </c>
      <c r="N115" s="67">
        <f t="shared" si="20"/>
        <v>124.55899999999974</v>
      </c>
      <c r="O115" s="41">
        <v>2196.9270000000001</v>
      </c>
      <c r="P115" s="67">
        <f t="shared" si="21"/>
        <v>52.399000000000342</v>
      </c>
      <c r="Q115" s="41">
        <v>2237.7080000000001</v>
      </c>
      <c r="R115" s="67">
        <f t="shared" si="22"/>
        <v>40.780999999999949</v>
      </c>
      <c r="S115" s="41"/>
      <c r="T115" s="67">
        <f t="shared" si="23"/>
        <v>0</v>
      </c>
      <c r="U115" s="41"/>
      <c r="V115" s="67">
        <f t="shared" si="24"/>
        <v>0</v>
      </c>
      <c r="W115" s="41"/>
      <c r="X115" s="67">
        <f t="shared" si="25"/>
        <v>0</v>
      </c>
      <c r="Y115" s="41"/>
      <c r="Z115" s="67">
        <f t="shared" si="26"/>
        <v>0</v>
      </c>
      <c r="AA115" s="41"/>
      <c r="AB115" s="67">
        <f t="shared" si="27"/>
        <v>0</v>
      </c>
      <c r="AC115" s="41"/>
      <c r="AD115" s="67">
        <f t="shared" si="28"/>
        <v>0</v>
      </c>
      <c r="AE115" s="41"/>
      <c r="AF115" s="108">
        <f t="shared" si="29"/>
        <v>0</v>
      </c>
      <c r="AG115" s="127">
        <f t="shared" si="30"/>
        <v>545.57000000000016</v>
      </c>
    </row>
    <row r="116" spans="1:33" ht="12.75" customHeight="1" x14ac:dyDescent="0.25">
      <c r="A116" s="338"/>
      <c r="B116" s="342"/>
      <c r="C116" s="57" t="s">
        <v>27</v>
      </c>
      <c r="D116" s="58" t="s">
        <v>28</v>
      </c>
      <c r="E116" s="59" t="s">
        <v>304</v>
      </c>
      <c r="F116" s="60" t="s">
        <v>382</v>
      </c>
      <c r="G116" s="115" t="s">
        <v>391</v>
      </c>
      <c r="H116" s="41">
        <v>7204.8779999999997</v>
      </c>
      <c r="I116" s="41">
        <v>7422.68</v>
      </c>
      <c r="J116" s="67">
        <f t="shared" si="18"/>
        <v>217.80200000000059</v>
      </c>
      <c r="K116" s="41">
        <v>7614.6670000000004</v>
      </c>
      <c r="L116" s="67">
        <f t="shared" si="19"/>
        <v>191.98700000000008</v>
      </c>
      <c r="M116" s="41">
        <v>7810.9089999999997</v>
      </c>
      <c r="N116" s="67">
        <f t="shared" si="20"/>
        <v>196.24199999999928</v>
      </c>
      <c r="O116" s="41">
        <v>7930.52</v>
      </c>
      <c r="P116" s="67">
        <f t="shared" si="21"/>
        <v>119.61100000000079</v>
      </c>
      <c r="Q116" s="41">
        <v>7930.7139999999999</v>
      </c>
      <c r="R116" s="67">
        <f t="shared" si="22"/>
        <v>0.19399999999950523</v>
      </c>
      <c r="S116" s="41"/>
      <c r="T116" s="67">
        <f t="shared" si="23"/>
        <v>0</v>
      </c>
      <c r="U116" s="41"/>
      <c r="V116" s="67">
        <f t="shared" si="24"/>
        <v>0</v>
      </c>
      <c r="W116" s="41"/>
      <c r="X116" s="67">
        <f t="shared" si="25"/>
        <v>0</v>
      </c>
      <c r="Y116" s="41"/>
      <c r="Z116" s="67">
        <f t="shared" si="26"/>
        <v>0</v>
      </c>
      <c r="AA116" s="41"/>
      <c r="AB116" s="67">
        <f t="shared" si="27"/>
        <v>0</v>
      </c>
      <c r="AC116" s="41"/>
      <c r="AD116" s="67">
        <f t="shared" si="28"/>
        <v>0</v>
      </c>
      <c r="AE116" s="41"/>
      <c r="AF116" s="108">
        <f t="shared" si="29"/>
        <v>0</v>
      </c>
      <c r="AG116" s="127">
        <f t="shared" si="30"/>
        <v>725.83600000000024</v>
      </c>
    </row>
    <row r="117" spans="1:33" ht="12.75" customHeight="1" x14ac:dyDescent="0.25">
      <c r="A117" s="338"/>
      <c r="B117" s="342"/>
      <c r="C117" s="57" t="s">
        <v>27</v>
      </c>
      <c r="D117" s="58" t="s">
        <v>28</v>
      </c>
      <c r="E117" s="59" t="s">
        <v>342</v>
      </c>
      <c r="F117" s="60" t="s">
        <v>638</v>
      </c>
      <c r="G117" s="115" t="s">
        <v>618</v>
      </c>
      <c r="H117" s="104"/>
      <c r="I117" s="104"/>
      <c r="J117" s="67">
        <v>33.85</v>
      </c>
      <c r="K117" s="104"/>
      <c r="L117" s="67">
        <v>31.39</v>
      </c>
      <c r="M117" s="104"/>
      <c r="N117" s="67">
        <v>17.64</v>
      </c>
      <c r="O117" s="104"/>
      <c r="P117" s="67">
        <v>8.4</v>
      </c>
      <c r="Q117" s="104"/>
      <c r="R117" s="67">
        <v>4.5999999999999996</v>
      </c>
      <c r="S117" s="104"/>
      <c r="T117" s="67"/>
      <c r="U117" s="104"/>
      <c r="V117" s="67"/>
      <c r="W117" s="104"/>
      <c r="X117" s="67"/>
      <c r="Y117" s="104"/>
      <c r="Z117" s="67"/>
      <c r="AA117" s="104"/>
      <c r="AB117" s="67"/>
      <c r="AC117" s="104"/>
      <c r="AD117" s="67"/>
      <c r="AE117" s="104"/>
      <c r="AF117" s="108"/>
      <c r="AG117" s="127">
        <f t="shared" si="30"/>
        <v>95.88000000000001</v>
      </c>
    </row>
    <row r="118" spans="1:33" ht="12.75" customHeight="1" x14ac:dyDescent="0.25">
      <c r="A118" s="339"/>
      <c r="B118" s="342"/>
      <c r="C118" s="57" t="s">
        <v>27</v>
      </c>
      <c r="D118" s="58" t="s">
        <v>28</v>
      </c>
      <c r="E118" s="59" t="s">
        <v>337</v>
      </c>
      <c r="F118" s="60" t="s">
        <v>392</v>
      </c>
      <c r="G118" s="115" t="s">
        <v>542</v>
      </c>
      <c r="H118" s="41">
        <v>224.78</v>
      </c>
      <c r="I118" s="41">
        <v>238.446</v>
      </c>
      <c r="J118" s="67">
        <f t="shared" si="18"/>
        <v>13.665999999999997</v>
      </c>
      <c r="K118" s="41">
        <v>249.92599999999999</v>
      </c>
      <c r="L118" s="67">
        <f t="shared" si="19"/>
        <v>11.47999999999999</v>
      </c>
      <c r="M118" s="41">
        <v>260.60700000000003</v>
      </c>
      <c r="N118" s="67">
        <f t="shared" si="20"/>
        <v>10.68100000000004</v>
      </c>
      <c r="O118" s="41">
        <v>270.197</v>
      </c>
      <c r="P118" s="67">
        <f t="shared" si="21"/>
        <v>9.589999999999975</v>
      </c>
      <c r="Q118" s="41">
        <v>280.65699999999998</v>
      </c>
      <c r="R118" s="67">
        <f t="shared" si="22"/>
        <v>10.45999999999998</v>
      </c>
      <c r="S118" s="41"/>
      <c r="T118" s="67">
        <f t="shared" si="23"/>
        <v>0</v>
      </c>
      <c r="U118" s="41"/>
      <c r="V118" s="67">
        <f t="shared" si="24"/>
        <v>0</v>
      </c>
      <c r="W118" s="41"/>
      <c r="X118" s="67">
        <f t="shared" si="25"/>
        <v>0</v>
      </c>
      <c r="Y118" s="41"/>
      <c r="Z118" s="67">
        <f t="shared" si="26"/>
        <v>0</v>
      </c>
      <c r="AA118" s="41"/>
      <c r="AB118" s="67">
        <f t="shared" si="27"/>
        <v>0</v>
      </c>
      <c r="AC118" s="41"/>
      <c r="AD118" s="67">
        <f t="shared" si="28"/>
        <v>0</v>
      </c>
      <c r="AE118" s="41"/>
      <c r="AF118" s="108">
        <f t="shared" si="29"/>
        <v>0</v>
      </c>
      <c r="AG118" s="127">
        <f t="shared" si="30"/>
        <v>55.876999999999981</v>
      </c>
    </row>
    <row r="119" spans="1:33" s="47" customFormat="1" ht="12.75" customHeight="1" x14ac:dyDescent="0.25">
      <c r="A119" s="330" t="s">
        <v>267</v>
      </c>
      <c r="B119" s="350" t="s">
        <v>186</v>
      </c>
      <c r="C119" s="134" t="s">
        <v>186</v>
      </c>
      <c r="D119" s="134" t="s">
        <v>33</v>
      </c>
      <c r="E119" s="212" t="s">
        <v>348</v>
      </c>
      <c r="F119" s="40" t="s">
        <v>369</v>
      </c>
      <c r="G119" s="110" t="s">
        <v>370</v>
      </c>
      <c r="H119" s="41">
        <v>97962</v>
      </c>
      <c r="I119" s="41">
        <v>98977</v>
      </c>
      <c r="J119" s="67">
        <f t="shared" si="18"/>
        <v>1015</v>
      </c>
      <c r="K119" s="41">
        <v>99711</v>
      </c>
      <c r="L119" s="67">
        <f t="shared" si="19"/>
        <v>734</v>
      </c>
      <c r="M119" s="41">
        <v>100601</v>
      </c>
      <c r="N119" s="67">
        <f t="shared" si="20"/>
        <v>890</v>
      </c>
      <c r="O119" s="41">
        <v>296</v>
      </c>
      <c r="P119" s="67">
        <f>O119+100986-M119</f>
        <v>681</v>
      </c>
      <c r="Q119" s="41">
        <v>832</v>
      </c>
      <c r="R119" s="67">
        <f t="shared" si="22"/>
        <v>536</v>
      </c>
      <c r="S119" s="41"/>
      <c r="T119" s="67">
        <f t="shared" si="23"/>
        <v>0</v>
      </c>
      <c r="U119" s="41"/>
      <c r="V119" s="67">
        <f t="shared" si="24"/>
        <v>0</v>
      </c>
      <c r="W119" s="41"/>
      <c r="X119" s="67">
        <f t="shared" si="25"/>
        <v>0</v>
      </c>
      <c r="Y119" s="41"/>
      <c r="Z119" s="67">
        <f t="shared" si="26"/>
        <v>0</v>
      </c>
      <c r="AA119" s="41"/>
      <c r="AB119" s="67">
        <f t="shared" si="27"/>
        <v>0</v>
      </c>
      <c r="AC119" s="41"/>
      <c r="AD119" s="67">
        <f t="shared" si="28"/>
        <v>0</v>
      </c>
      <c r="AE119" s="41"/>
      <c r="AF119" s="108">
        <f t="shared" si="29"/>
        <v>0</v>
      </c>
      <c r="AG119" s="127">
        <f t="shared" si="30"/>
        <v>3856</v>
      </c>
    </row>
    <row r="120" spans="1:33" s="47" customFormat="1" ht="12.75" customHeight="1" x14ac:dyDescent="0.25">
      <c r="A120" s="331"/>
      <c r="B120" s="351"/>
      <c r="C120" s="134" t="s">
        <v>186</v>
      </c>
      <c r="D120" s="134" t="s">
        <v>33</v>
      </c>
      <c r="E120" s="212" t="s">
        <v>348</v>
      </c>
      <c r="F120" s="40" t="s">
        <v>367</v>
      </c>
      <c r="G120" s="110" t="s">
        <v>368</v>
      </c>
      <c r="H120" s="41">
        <v>2773</v>
      </c>
      <c r="I120" s="41">
        <v>3223</v>
      </c>
      <c r="J120" s="67">
        <f t="shared" si="18"/>
        <v>450</v>
      </c>
      <c r="K120" s="41">
        <v>3504</v>
      </c>
      <c r="L120" s="67">
        <f t="shared" si="19"/>
        <v>281</v>
      </c>
      <c r="M120" s="41">
        <v>3835</v>
      </c>
      <c r="N120" s="67">
        <f t="shared" si="20"/>
        <v>331</v>
      </c>
      <c r="O120" s="41">
        <v>4156</v>
      </c>
      <c r="P120" s="67">
        <f t="shared" si="21"/>
        <v>321</v>
      </c>
      <c r="Q120" s="41">
        <v>4458</v>
      </c>
      <c r="R120" s="67">
        <f t="shared" si="22"/>
        <v>302</v>
      </c>
      <c r="S120" s="41"/>
      <c r="T120" s="67">
        <f t="shared" si="23"/>
        <v>0</v>
      </c>
      <c r="U120" s="41"/>
      <c r="V120" s="67">
        <f t="shared" si="24"/>
        <v>0</v>
      </c>
      <c r="W120" s="41"/>
      <c r="X120" s="67">
        <f t="shared" si="25"/>
        <v>0</v>
      </c>
      <c r="Y120" s="41"/>
      <c r="Z120" s="67">
        <f t="shared" si="26"/>
        <v>0</v>
      </c>
      <c r="AA120" s="41"/>
      <c r="AB120" s="67">
        <f t="shared" si="27"/>
        <v>0</v>
      </c>
      <c r="AC120" s="41"/>
      <c r="AD120" s="67">
        <f t="shared" si="28"/>
        <v>0</v>
      </c>
      <c r="AE120" s="41"/>
      <c r="AF120" s="108">
        <f t="shared" si="29"/>
        <v>0</v>
      </c>
      <c r="AG120" s="127">
        <f t="shared" si="30"/>
        <v>1685</v>
      </c>
    </row>
    <row r="121" spans="1:33" s="47" customFormat="1" ht="12.75" customHeight="1" x14ac:dyDescent="0.25">
      <c r="A121" s="331"/>
      <c r="B121" s="351"/>
      <c r="C121" s="134" t="s">
        <v>572</v>
      </c>
      <c r="D121" s="134" t="s">
        <v>33</v>
      </c>
      <c r="E121" s="212" t="s">
        <v>348</v>
      </c>
      <c r="F121" s="40" t="s">
        <v>571</v>
      </c>
      <c r="G121" s="110" t="s">
        <v>625</v>
      </c>
      <c r="H121" s="41">
        <v>103520</v>
      </c>
      <c r="I121" s="41">
        <v>103521</v>
      </c>
      <c r="J121" s="67">
        <f t="shared" si="18"/>
        <v>1</v>
      </c>
      <c r="K121" s="41">
        <v>103521</v>
      </c>
      <c r="L121" s="67">
        <f t="shared" si="19"/>
        <v>0</v>
      </c>
      <c r="M121" s="41">
        <v>103521</v>
      </c>
      <c r="N121" s="67">
        <f t="shared" si="20"/>
        <v>0</v>
      </c>
      <c r="O121" s="41">
        <v>103521</v>
      </c>
      <c r="P121" s="67">
        <f t="shared" si="21"/>
        <v>0</v>
      </c>
      <c r="Q121" s="41">
        <v>103521</v>
      </c>
      <c r="R121" s="67">
        <f t="shared" si="22"/>
        <v>0</v>
      </c>
      <c r="S121" s="41"/>
      <c r="T121" s="67">
        <f t="shared" si="23"/>
        <v>0</v>
      </c>
      <c r="U121" s="41"/>
      <c r="V121" s="67">
        <f t="shared" si="24"/>
        <v>0</v>
      </c>
      <c r="W121" s="41"/>
      <c r="X121" s="67">
        <f t="shared" si="25"/>
        <v>0</v>
      </c>
      <c r="Y121" s="41"/>
      <c r="Z121" s="67">
        <f t="shared" si="26"/>
        <v>0</v>
      </c>
      <c r="AA121" s="41"/>
      <c r="AB121" s="67">
        <f t="shared" si="27"/>
        <v>0</v>
      </c>
      <c r="AC121" s="41"/>
      <c r="AD121" s="67">
        <f t="shared" si="28"/>
        <v>0</v>
      </c>
      <c r="AE121" s="41"/>
      <c r="AF121" s="108">
        <f t="shared" si="29"/>
        <v>0</v>
      </c>
      <c r="AG121" s="127">
        <f t="shared" si="30"/>
        <v>1</v>
      </c>
    </row>
    <row r="122" spans="1:33" ht="12.75" customHeight="1" x14ac:dyDescent="0.25">
      <c r="A122" s="331"/>
      <c r="B122" s="351"/>
      <c r="C122" s="89" t="s">
        <v>573</v>
      </c>
      <c r="D122" s="89" t="s">
        <v>33</v>
      </c>
      <c r="E122" s="90" t="s">
        <v>348</v>
      </c>
      <c r="F122" s="91" t="s">
        <v>621</v>
      </c>
      <c r="G122" s="111" t="s">
        <v>622</v>
      </c>
      <c r="H122" s="87">
        <v>22586</v>
      </c>
      <c r="I122" s="87">
        <v>22625</v>
      </c>
      <c r="J122" s="121">
        <f t="shared" si="18"/>
        <v>39</v>
      </c>
      <c r="K122" s="87">
        <v>22636</v>
      </c>
      <c r="L122" s="121">
        <f t="shared" si="19"/>
        <v>11</v>
      </c>
      <c r="M122" s="87">
        <v>22636</v>
      </c>
      <c r="N122" s="121">
        <f t="shared" si="20"/>
        <v>0</v>
      </c>
      <c r="O122" s="87">
        <v>22636</v>
      </c>
      <c r="P122" s="121">
        <f t="shared" si="21"/>
        <v>0</v>
      </c>
      <c r="Q122" s="87">
        <v>22636</v>
      </c>
      <c r="R122" s="121">
        <f t="shared" si="22"/>
        <v>0</v>
      </c>
      <c r="S122" s="87"/>
      <c r="T122" s="121">
        <f t="shared" si="23"/>
        <v>0</v>
      </c>
      <c r="U122" s="87"/>
      <c r="V122" s="121">
        <f t="shared" si="24"/>
        <v>0</v>
      </c>
      <c r="W122" s="87"/>
      <c r="X122" s="121">
        <f t="shared" si="25"/>
        <v>0</v>
      </c>
      <c r="Y122" s="87"/>
      <c r="Z122" s="121">
        <f t="shared" si="26"/>
        <v>0</v>
      </c>
      <c r="AA122" s="87"/>
      <c r="AB122" s="121">
        <f t="shared" si="27"/>
        <v>0</v>
      </c>
      <c r="AC122" s="87"/>
      <c r="AD122" s="121">
        <f t="shared" si="28"/>
        <v>0</v>
      </c>
      <c r="AE122" s="87"/>
      <c r="AF122" s="125">
        <f t="shared" si="29"/>
        <v>0</v>
      </c>
      <c r="AG122" s="127">
        <f t="shared" si="30"/>
        <v>50</v>
      </c>
    </row>
    <row r="123" spans="1:33" ht="12.75" customHeight="1" x14ac:dyDescent="0.25">
      <c r="A123" s="331"/>
      <c r="B123" s="351"/>
      <c r="C123" s="58" t="s">
        <v>186</v>
      </c>
      <c r="D123" s="58" t="s">
        <v>33</v>
      </c>
      <c r="E123" s="59" t="s">
        <v>342</v>
      </c>
      <c r="F123" s="60" t="s">
        <v>596</v>
      </c>
      <c r="G123" s="115" t="s">
        <v>620</v>
      </c>
      <c r="H123" s="104"/>
      <c r="I123" s="104"/>
      <c r="J123" s="67">
        <v>119.89</v>
      </c>
      <c r="K123" s="104"/>
      <c r="L123" s="67">
        <v>93.32</v>
      </c>
      <c r="M123" s="104"/>
      <c r="N123" s="67">
        <v>66.03</v>
      </c>
      <c r="O123" s="104"/>
      <c r="P123" s="67">
        <v>30.87</v>
      </c>
      <c r="Q123" s="104"/>
      <c r="R123" s="67">
        <v>15.95</v>
      </c>
      <c r="S123" s="104"/>
      <c r="T123" s="67"/>
      <c r="U123" s="104"/>
      <c r="V123" s="67"/>
      <c r="W123" s="104"/>
      <c r="X123" s="67"/>
      <c r="Y123" s="104"/>
      <c r="Z123" s="67"/>
      <c r="AA123" s="104"/>
      <c r="AB123" s="67"/>
      <c r="AC123" s="104"/>
      <c r="AD123" s="67"/>
      <c r="AE123" s="104"/>
      <c r="AF123" s="108"/>
      <c r="AG123" s="127">
        <f t="shared" si="30"/>
        <v>326.06</v>
      </c>
    </row>
    <row r="124" spans="1:33" ht="12.75" customHeight="1" x14ac:dyDescent="0.25">
      <c r="A124" s="333"/>
      <c r="B124" s="352"/>
      <c r="C124" s="58" t="s">
        <v>186</v>
      </c>
      <c r="D124" s="58" t="s">
        <v>33</v>
      </c>
      <c r="E124" s="59" t="s">
        <v>337</v>
      </c>
      <c r="F124" s="60" t="s">
        <v>619</v>
      </c>
      <c r="G124" s="115" t="s">
        <v>359</v>
      </c>
      <c r="H124" s="41">
        <v>7426</v>
      </c>
      <c r="I124" s="41">
        <v>9</v>
      </c>
      <c r="J124" s="67">
        <f>7446-7426+9</f>
        <v>29</v>
      </c>
      <c r="K124" s="41">
        <v>25</v>
      </c>
      <c r="L124" s="67">
        <f t="shared" si="19"/>
        <v>16</v>
      </c>
      <c r="M124" s="41">
        <v>50.027000000000001</v>
      </c>
      <c r="N124" s="67">
        <f t="shared" si="20"/>
        <v>25.027000000000001</v>
      </c>
      <c r="O124" s="41">
        <v>75.239999999999995</v>
      </c>
      <c r="P124" s="67">
        <f t="shared" si="21"/>
        <v>25.212999999999994</v>
      </c>
      <c r="Q124" s="41">
        <v>97</v>
      </c>
      <c r="R124" s="67">
        <f t="shared" si="22"/>
        <v>21.760000000000005</v>
      </c>
      <c r="S124" s="41"/>
      <c r="T124" s="67">
        <f t="shared" si="23"/>
        <v>0</v>
      </c>
      <c r="U124" s="41"/>
      <c r="V124" s="67">
        <f t="shared" si="24"/>
        <v>0</v>
      </c>
      <c r="W124" s="41"/>
      <c r="X124" s="67">
        <f t="shared" si="25"/>
        <v>0</v>
      </c>
      <c r="Y124" s="41"/>
      <c r="Z124" s="67">
        <f t="shared" si="26"/>
        <v>0</v>
      </c>
      <c r="AA124" s="41"/>
      <c r="AB124" s="67">
        <f t="shared" si="27"/>
        <v>0</v>
      </c>
      <c r="AC124" s="41"/>
      <c r="AD124" s="67">
        <f t="shared" si="28"/>
        <v>0</v>
      </c>
      <c r="AE124" s="41"/>
      <c r="AF124" s="108">
        <f t="shared" si="29"/>
        <v>0</v>
      </c>
      <c r="AG124" s="127">
        <f t="shared" si="30"/>
        <v>117</v>
      </c>
    </row>
    <row r="125" spans="1:33" ht="12.75" customHeight="1" x14ac:dyDescent="0.25">
      <c r="A125" s="330" t="s">
        <v>268</v>
      </c>
      <c r="B125" s="344" t="s">
        <v>535</v>
      </c>
      <c r="C125" s="58" t="s">
        <v>2</v>
      </c>
      <c r="D125" s="58" t="s">
        <v>4</v>
      </c>
      <c r="E125" s="59" t="s">
        <v>348</v>
      </c>
      <c r="F125" s="60" t="s">
        <v>415</v>
      </c>
      <c r="G125" s="110" t="s">
        <v>416</v>
      </c>
      <c r="H125" s="41">
        <v>752874</v>
      </c>
      <c r="I125" s="41">
        <v>764159</v>
      </c>
      <c r="J125" s="67">
        <f t="shared" si="18"/>
        <v>11285</v>
      </c>
      <c r="K125" s="41">
        <v>773608</v>
      </c>
      <c r="L125" s="67">
        <f t="shared" si="19"/>
        <v>9449</v>
      </c>
      <c r="M125" s="41">
        <v>786452</v>
      </c>
      <c r="N125" s="67">
        <f t="shared" si="20"/>
        <v>12844</v>
      </c>
      <c r="O125" s="41">
        <v>798000</v>
      </c>
      <c r="P125" s="67">
        <f t="shared" si="21"/>
        <v>11548</v>
      </c>
      <c r="Q125" s="41">
        <v>809444</v>
      </c>
      <c r="R125" s="67">
        <f t="shared" si="22"/>
        <v>11444</v>
      </c>
      <c r="S125" s="41"/>
      <c r="T125" s="67">
        <f t="shared" si="23"/>
        <v>0</v>
      </c>
      <c r="U125" s="41"/>
      <c r="V125" s="67">
        <f t="shared" si="24"/>
        <v>0</v>
      </c>
      <c r="W125" s="41"/>
      <c r="X125" s="67">
        <f t="shared" si="25"/>
        <v>0</v>
      </c>
      <c r="Y125" s="41"/>
      <c r="Z125" s="67">
        <f t="shared" si="26"/>
        <v>0</v>
      </c>
      <c r="AA125" s="41"/>
      <c r="AB125" s="67">
        <f t="shared" si="27"/>
        <v>0</v>
      </c>
      <c r="AC125" s="41"/>
      <c r="AD125" s="67">
        <f t="shared" si="28"/>
        <v>0</v>
      </c>
      <c r="AE125" s="41"/>
      <c r="AF125" s="108">
        <f t="shared" si="29"/>
        <v>0</v>
      </c>
      <c r="AG125" s="127">
        <f t="shared" si="30"/>
        <v>56570</v>
      </c>
    </row>
    <row r="126" spans="1:33" ht="12.75" customHeight="1" x14ac:dyDescent="0.25">
      <c r="A126" s="331"/>
      <c r="B126" s="345"/>
      <c r="C126" s="58" t="s">
        <v>2</v>
      </c>
      <c r="D126" s="58" t="s">
        <v>4</v>
      </c>
      <c r="E126" s="59" t="s">
        <v>342</v>
      </c>
      <c r="F126" s="60" t="s">
        <v>639</v>
      </c>
      <c r="G126" s="110" t="s">
        <v>626</v>
      </c>
      <c r="H126" s="104"/>
      <c r="I126" s="104"/>
      <c r="J126" s="67">
        <v>114.55</v>
      </c>
      <c r="K126" s="104"/>
      <c r="L126" s="67">
        <v>105.04</v>
      </c>
      <c r="M126" s="104"/>
      <c r="N126" s="67">
        <v>74.28</v>
      </c>
      <c r="O126" s="104"/>
      <c r="P126" s="67">
        <v>37.200000000000003</v>
      </c>
      <c r="Q126" s="104"/>
      <c r="R126" s="67">
        <v>21.03</v>
      </c>
      <c r="S126" s="104"/>
      <c r="T126" s="67"/>
      <c r="U126" s="104"/>
      <c r="V126" s="67"/>
      <c r="W126" s="104"/>
      <c r="X126" s="67"/>
      <c r="Y126" s="104"/>
      <c r="Z126" s="67"/>
      <c r="AA126" s="104"/>
      <c r="AB126" s="67"/>
      <c r="AC126" s="104"/>
      <c r="AD126" s="67"/>
      <c r="AE126" s="104"/>
      <c r="AF126" s="108"/>
      <c r="AG126" s="127">
        <f t="shared" si="30"/>
        <v>352.1</v>
      </c>
    </row>
    <row r="127" spans="1:33" ht="12.75" customHeight="1" x14ac:dyDescent="0.25">
      <c r="A127" s="333"/>
      <c r="B127" s="347"/>
      <c r="C127" s="58" t="s">
        <v>2</v>
      </c>
      <c r="D127" s="58" t="s">
        <v>4</v>
      </c>
      <c r="E127" s="59" t="s">
        <v>337</v>
      </c>
      <c r="F127" s="60" t="s">
        <v>417</v>
      </c>
      <c r="G127" s="110" t="s">
        <v>677</v>
      </c>
      <c r="H127" s="41">
        <v>2917</v>
      </c>
      <c r="I127" s="41">
        <v>3040</v>
      </c>
      <c r="J127" s="67">
        <f t="shared" si="18"/>
        <v>123</v>
      </c>
      <c r="K127" s="41">
        <v>3155</v>
      </c>
      <c r="L127" s="67">
        <f t="shared" si="19"/>
        <v>115</v>
      </c>
      <c r="M127" s="41">
        <v>3317</v>
      </c>
      <c r="N127" s="67">
        <f t="shared" si="20"/>
        <v>162</v>
      </c>
      <c r="O127" s="41">
        <v>3457.5</v>
      </c>
      <c r="P127" s="67">
        <f t="shared" si="21"/>
        <v>140.5</v>
      </c>
      <c r="Q127" s="41">
        <v>3600</v>
      </c>
      <c r="R127" s="67">
        <f t="shared" si="22"/>
        <v>142.5</v>
      </c>
      <c r="S127" s="41"/>
      <c r="T127" s="67">
        <f t="shared" si="23"/>
        <v>0</v>
      </c>
      <c r="U127" s="41"/>
      <c r="V127" s="67">
        <f t="shared" si="24"/>
        <v>0</v>
      </c>
      <c r="W127" s="41"/>
      <c r="X127" s="67">
        <f t="shared" si="25"/>
        <v>0</v>
      </c>
      <c r="Y127" s="41"/>
      <c r="Z127" s="67">
        <f t="shared" si="26"/>
        <v>0</v>
      </c>
      <c r="AA127" s="41"/>
      <c r="AB127" s="67">
        <f t="shared" si="27"/>
        <v>0</v>
      </c>
      <c r="AC127" s="41"/>
      <c r="AD127" s="67">
        <f t="shared" si="28"/>
        <v>0</v>
      </c>
      <c r="AE127" s="41"/>
      <c r="AF127" s="108">
        <f t="shared" si="29"/>
        <v>0</v>
      </c>
      <c r="AG127" s="127">
        <f t="shared" si="30"/>
        <v>683</v>
      </c>
    </row>
    <row r="128" spans="1:33" ht="12.75" customHeight="1" x14ac:dyDescent="0.25">
      <c r="A128" s="330" t="s">
        <v>269</v>
      </c>
      <c r="B128" s="350" t="s">
        <v>3</v>
      </c>
      <c r="C128" s="58" t="s">
        <v>3</v>
      </c>
      <c r="D128" s="58" t="s">
        <v>12</v>
      </c>
      <c r="E128" s="59" t="s">
        <v>348</v>
      </c>
      <c r="F128" s="60" t="s">
        <v>377</v>
      </c>
      <c r="G128" s="115" t="s">
        <v>378</v>
      </c>
      <c r="H128" s="41">
        <v>220145</v>
      </c>
      <c r="I128" s="41">
        <v>225076</v>
      </c>
      <c r="J128" s="67">
        <f t="shared" si="18"/>
        <v>4931</v>
      </c>
      <c r="K128" s="41">
        <v>228404</v>
      </c>
      <c r="L128" s="67">
        <f t="shared" si="19"/>
        <v>3328</v>
      </c>
      <c r="M128" s="41">
        <v>231929</v>
      </c>
      <c r="N128" s="67">
        <f t="shared" si="20"/>
        <v>3525</v>
      </c>
      <c r="O128" s="41">
        <v>235494</v>
      </c>
      <c r="P128" s="67">
        <f t="shared" si="21"/>
        <v>3565</v>
      </c>
      <c r="Q128" s="41">
        <v>238562</v>
      </c>
      <c r="R128" s="67">
        <f t="shared" si="22"/>
        <v>3068</v>
      </c>
      <c r="S128" s="41"/>
      <c r="T128" s="67">
        <f t="shared" si="23"/>
        <v>0</v>
      </c>
      <c r="U128" s="41"/>
      <c r="V128" s="67">
        <f t="shared" si="24"/>
        <v>0</v>
      </c>
      <c r="W128" s="41"/>
      <c r="X128" s="67">
        <f t="shared" si="25"/>
        <v>0</v>
      </c>
      <c r="Y128" s="41"/>
      <c r="Z128" s="67">
        <f t="shared" si="26"/>
        <v>0</v>
      </c>
      <c r="AA128" s="41"/>
      <c r="AB128" s="67">
        <f t="shared" si="27"/>
        <v>0</v>
      </c>
      <c r="AC128" s="41"/>
      <c r="AD128" s="67">
        <f t="shared" si="28"/>
        <v>0</v>
      </c>
      <c r="AE128" s="41"/>
      <c r="AF128" s="108">
        <f t="shared" si="29"/>
        <v>0</v>
      </c>
      <c r="AG128" s="127">
        <f t="shared" si="30"/>
        <v>18417</v>
      </c>
    </row>
    <row r="129" spans="1:33" ht="12.75" customHeight="1" x14ac:dyDescent="0.25">
      <c r="A129" s="331"/>
      <c r="B129" s="351"/>
      <c r="C129" s="58" t="s">
        <v>3</v>
      </c>
      <c r="D129" s="58" t="s">
        <v>12</v>
      </c>
      <c r="E129" s="59" t="s">
        <v>363</v>
      </c>
      <c r="F129" s="60" t="s">
        <v>377</v>
      </c>
      <c r="G129" s="115" t="s">
        <v>378</v>
      </c>
      <c r="H129" s="41">
        <v>47571</v>
      </c>
      <c r="I129" s="41">
        <v>48269</v>
      </c>
      <c r="J129" s="67">
        <f t="shared" si="18"/>
        <v>698</v>
      </c>
      <c r="K129" s="41">
        <v>48837</v>
      </c>
      <c r="L129" s="67">
        <f t="shared" si="19"/>
        <v>568</v>
      </c>
      <c r="M129" s="41">
        <v>49184</v>
      </c>
      <c r="N129" s="67">
        <f t="shared" si="20"/>
        <v>347</v>
      </c>
      <c r="O129" s="41">
        <v>49716</v>
      </c>
      <c r="P129" s="67">
        <f t="shared" si="21"/>
        <v>532</v>
      </c>
      <c r="Q129" s="41">
        <v>50150</v>
      </c>
      <c r="R129" s="67">
        <f t="shared" si="22"/>
        <v>434</v>
      </c>
      <c r="S129" s="41"/>
      <c r="T129" s="67">
        <f t="shared" si="23"/>
        <v>0</v>
      </c>
      <c r="U129" s="41"/>
      <c r="V129" s="67">
        <f t="shared" si="24"/>
        <v>0</v>
      </c>
      <c r="W129" s="41"/>
      <c r="X129" s="67">
        <f t="shared" si="25"/>
        <v>0</v>
      </c>
      <c r="Y129" s="41"/>
      <c r="Z129" s="67">
        <f t="shared" si="26"/>
        <v>0</v>
      </c>
      <c r="AA129" s="41"/>
      <c r="AB129" s="67">
        <f t="shared" si="27"/>
        <v>0</v>
      </c>
      <c r="AC129" s="41"/>
      <c r="AD129" s="67">
        <f t="shared" si="28"/>
        <v>0</v>
      </c>
      <c r="AE129" s="41"/>
      <c r="AF129" s="108">
        <f t="shared" si="29"/>
        <v>0</v>
      </c>
      <c r="AG129" s="127">
        <f t="shared" si="30"/>
        <v>2579</v>
      </c>
    </row>
    <row r="130" spans="1:33" ht="12.75" customHeight="1" x14ac:dyDescent="0.25">
      <c r="A130" s="331"/>
      <c r="B130" s="351"/>
      <c r="C130" s="58" t="s">
        <v>3</v>
      </c>
      <c r="D130" s="58" t="s">
        <v>12</v>
      </c>
      <c r="E130" s="59" t="s">
        <v>342</v>
      </c>
      <c r="F130" s="60" t="s">
        <v>371</v>
      </c>
      <c r="G130" s="115" t="s">
        <v>627</v>
      </c>
      <c r="H130" s="104"/>
      <c r="I130" s="104"/>
      <c r="J130" s="67">
        <v>191.1</v>
      </c>
      <c r="K130" s="104"/>
      <c r="L130" s="67">
        <v>161.1</v>
      </c>
      <c r="M130" s="104"/>
      <c r="N130" s="67">
        <v>101.1</v>
      </c>
      <c r="O130" s="104"/>
      <c r="P130" s="67">
        <v>49.2</v>
      </c>
      <c r="Q130" s="104"/>
      <c r="R130" s="67">
        <v>27.6</v>
      </c>
      <c r="S130" s="104"/>
      <c r="T130" s="67"/>
      <c r="U130" s="104"/>
      <c r="V130" s="67"/>
      <c r="W130" s="104"/>
      <c r="X130" s="67"/>
      <c r="Y130" s="104"/>
      <c r="Z130" s="67"/>
      <c r="AA130" s="104"/>
      <c r="AB130" s="67"/>
      <c r="AC130" s="104"/>
      <c r="AD130" s="67"/>
      <c r="AE130" s="104"/>
      <c r="AF130" s="108"/>
      <c r="AG130" s="127">
        <f t="shared" si="30"/>
        <v>530.09999999999991</v>
      </c>
    </row>
    <row r="131" spans="1:33" ht="12.75" customHeight="1" x14ac:dyDescent="0.25">
      <c r="A131" s="333"/>
      <c r="B131" s="352"/>
      <c r="C131" s="58" t="s">
        <v>3</v>
      </c>
      <c r="D131" s="58" t="s">
        <v>12</v>
      </c>
      <c r="E131" s="59" t="s">
        <v>337</v>
      </c>
      <c r="F131" s="60" t="s">
        <v>379</v>
      </c>
      <c r="G131" s="115" t="s">
        <v>360</v>
      </c>
      <c r="H131" s="41">
        <v>6415</v>
      </c>
      <c r="I131" s="41">
        <v>76</v>
      </c>
      <c r="J131" s="67">
        <f>6474-H131-9+I131</f>
        <v>126</v>
      </c>
      <c r="K131" s="41">
        <v>191</v>
      </c>
      <c r="L131" s="67">
        <f t="shared" si="19"/>
        <v>115</v>
      </c>
      <c r="M131" s="41">
        <v>334</v>
      </c>
      <c r="N131" s="67">
        <f t="shared" si="20"/>
        <v>143</v>
      </c>
      <c r="O131" s="41">
        <v>475</v>
      </c>
      <c r="P131" s="67">
        <f t="shared" si="21"/>
        <v>141</v>
      </c>
      <c r="Q131" s="41">
        <v>578</v>
      </c>
      <c r="R131" s="67">
        <f t="shared" si="22"/>
        <v>103</v>
      </c>
      <c r="S131" s="41"/>
      <c r="T131" s="67">
        <f t="shared" si="23"/>
        <v>0</v>
      </c>
      <c r="U131" s="41"/>
      <c r="V131" s="67">
        <f t="shared" si="24"/>
        <v>0</v>
      </c>
      <c r="W131" s="41"/>
      <c r="X131" s="67">
        <f t="shared" si="25"/>
        <v>0</v>
      </c>
      <c r="Y131" s="41"/>
      <c r="Z131" s="67">
        <f t="shared" si="26"/>
        <v>0</v>
      </c>
      <c r="AA131" s="41"/>
      <c r="AB131" s="67">
        <f t="shared" si="27"/>
        <v>0</v>
      </c>
      <c r="AC131" s="41"/>
      <c r="AD131" s="67">
        <f t="shared" si="28"/>
        <v>0</v>
      </c>
      <c r="AE131" s="41"/>
      <c r="AF131" s="108">
        <f t="shared" si="29"/>
        <v>0</v>
      </c>
      <c r="AG131" s="127">
        <f t="shared" si="30"/>
        <v>628</v>
      </c>
    </row>
    <row r="132" spans="1:33" ht="12.75" customHeight="1" x14ac:dyDescent="0.25">
      <c r="A132" s="337" t="s">
        <v>270</v>
      </c>
      <c r="B132" s="344" t="s">
        <v>197</v>
      </c>
      <c r="C132" s="57" t="s">
        <v>315</v>
      </c>
      <c r="D132" s="58" t="s">
        <v>239</v>
      </c>
      <c r="E132" s="59" t="s">
        <v>348</v>
      </c>
      <c r="F132" s="62" t="s">
        <v>351</v>
      </c>
      <c r="G132" s="116" t="s">
        <v>352</v>
      </c>
      <c r="H132" s="41">
        <v>123714</v>
      </c>
      <c r="I132" s="137">
        <v>124622</v>
      </c>
      <c r="J132" s="67">
        <f t="shared" si="18"/>
        <v>908</v>
      </c>
      <c r="K132" s="41">
        <v>125390</v>
      </c>
      <c r="L132" s="67">
        <f t="shared" si="19"/>
        <v>768</v>
      </c>
      <c r="M132" s="41">
        <v>126216</v>
      </c>
      <c r="N132" s="67">
        <f t="shared" si="20"/>
        <v>826</v>
      </c>
      <c r="O132" s="41">
        <v>127000</v>
      </c>
      <c r="P132" s="67">
        <f t="shared" si="21"/>
        <v>784</v>
      </c>
      <c r="Q132" s="41">
        <v>127695</v>
      </c>
      <c r="R132" s="67">
        <f t="shared" si="22"/>
        <v>695</v>
      </c>
      <c r="S132" s="41"/>
      <c r="T132" s="67">
        <f t="shared" si="23"/>
        <v>0</v>
      </c>
      <c r="U132" s="41"/>
      <c r="V132" s="67">
        <f t="shared" si="24"/>
        <v>0</v>
      </c>
      <c r="W132" s="41"/>
      <c r="X132" s="67">
        <f t="shared" si="25"/>
        <v>0</v>
      </c>
      <c r="Y132" s="41"/>
      <c r="Z132" s="67">
        <f t="shared" si="26"/>
        <v>0</v>
      </c>
      <c r="AA132" s="41"/>
      <c r="AB132" s="67">
        <f t="shared" si="27"/>
        <v>0</v>
      </c>
      <c r="AC132" s="41"/>
      <c r="AD132" s="67">
        <f t="shared" si="28"/>
        <v>0</v>
      </c>
      <c r="AE132" s="41"/>
      <c r="AF132" s="108">
        <f t="shared" si="29"/>
        <v>0</v>
      </c>
      <c r="AG132" s="127">
        <f t="shared" si="30"/>
        <v>3981</v>
      </c>
    </row>
    <row r="133" spans="1:33" ht="12.75" customHeight="1" x14ac:dyDescent="0.25">
      <c r="A133" s="338"/>
      <c r="B133" s="345"/>
      <c r="C133" s="57" t="s">
        <v>315</v>
      </c>
      <c r="D133" s="58" t="s">
        <v>239</v>
      </c>
      <c r="E133" s="59" t="s">
        <v>348</v>
      </c>
      <c r="F133" s="62" t="s">
        <v>353</v>
      </c>
      <c r="G133" s="116" t="s">
        <v>354</v>
      </c>
      <c r="H133" s="41">
        <v>6335</v>
      </c>
      <c r="I133" s="137">
        <v>6398</v>
      </c>
      <c r="J133" s="67">
        <f t="shared" si="18"/>
        <v>63</v>
      </c>
      <c r="K133" s="41">
        <v>6453</v>
      </c>
      <c r="L133" s="67">
        <f t="shared" si="19"/>
        <v>55</v>
      </c>
      <c r="M133" s="41">
        <v>6518</v>
      </c>
      <c r="N133" s="67">
        <f t="shared" si="20"/>
        <v>65</v>
      </c>
      <c r="O133" s="41">
        <v>6582</v>
      </c>
      <c r="P133" s="67">
        <f t="shared" si="21"/>
        <v>64</v>
      </c>
      <c r="Q133" s="41">
        <v>6646</v>
      </c>
      <c r="R133" s="67">
        <f t="shared" si="22"/>
        <v>64</v>
      </c>
      <c r="S133" s="41"/>
      <c r="T133" s="67">
        <f t="shared" si="23"/>
        <v>0</v>
      </c>
      <c r="U133" s="41"/>
      <c r="V133" s="67">
        <f t="shared" si="24"/>
        <v>0</v>
      </c>
      <c r="W133" s="41"/>
      <c r="X133" s="67">
        <f t="shared" si="25"/>
        <v>0</v>
      </c>
      <c r="Y133" s="41"/>
      <c r="Z133" s="67">
        <f t="shared" si="26"/>
        <v>0</v>
      </c>
      <c r="AA133" s="41"/>
      <c r="AB133" s="67">
        <f t="shared" si="27"/>
        <v>0</v>
      </c>
      <c r="AC133" s="41"/>
      <c r="AD133" s="67">
        <f t="shared" si="28"/>
        <v>0</v>
      </c>
      <c r="AE133" s="41"/>
      <c r="AF133" s="108">
        <f t="shared" si="29"/>
        <v>0</v>
      </c>
      <c r="AG133" s="127">
        <f t="shared" si="30"/>
        <v>311</v>
      </c>
    </row>
    <row r="134" spans="1:33" ht="12.75" customHeight="1" x14ac:dyDescent="0.25">
      <c r="A134" s="338"/>
      <c r="B134" s="345"/>
      <c r="C134" s="57" t="s">
        <v>315</v>
      </c>
      <c r="D134" s="58" t="s">
        <v>239</v>
      </c>
      <c r="E134" s="59" t="s">
        <v>342</v>
      </c>
      <c r="F134" s="60">
        <v>38</v>
      </c>
      <c r="G134" s="115" t="s">
        <v>628</v>
      </c>
      <c r="H134" s="104"/>
      <c r="I134" s="104"/>
      <c r="J134" s="67">
        <v>113</v>
      </c>
      <c r="K134" s="104"/>
      <c r="L134" s="67">
        <v>107.9</v>
      </c>
      <c r="M134" s="104"/>
      <c r="N134" s="67">
        <v>84.8</v>
      </c>
      <c r="O134" s="104"/>
      <c r="P134" s="67">
        <v>57.6</v>
      </c>
      <c r="Q134" s="104"/>
      <c r="R134" s="67">
        <v>35.9</v>
      </c>
      <c r="S134" s="104"/>
      <c r="T134" s="67"/>
      <c r="U134" s="104"/>
      <c r="V134" s="67"/>
      <c r="W134" s="104"/>
      <c r="X134" s="67"/>
      <c r="Y134" s="104"/>
      <c r="Z134" s="67"/>
      <c r="AA134" s="104"/>
      <c r="AB134" s="67"/>
      <c r="AC134" s="104"/>
      <c r="AD134" s="67"/>
      <c r="AE134" s="104"/>
      <c r="AF134" s="108"/>
      <c r="AG134" s="127">
        <f t="shared" si="30"/>
        <v>399.2</v>
      </c>
    </row>
    <row r="135" spans="1:33" ht="12.75" customHeight="1" x14ac:dyDescent="0.25">
      <c r="A135" s="338"/>
      <c r="B135" s="345"/>
      <c r="C135" s="57" t="s">
        <v>315</v>
      </c>
      <c r="D135" s="58" t="s">
        <v>239</v>
      </c>
      <c r="E135" s="59" t="s">
        <v>337</v>
      </c>
      <c r="F135" s="60">
        <v>606021333</v>
      </c>
      <c r="G135" s="117" t="s">
        <v>356</v>
      </c>
      <c r="H135" s="41">
        <v>2389</v>
      </c>
      <c r="I135" s="41">
        <v>2519</v>
      </c>
      <c r="J135" s="67">
        <f t="shared" si="18"/>
        <v>130</v>
      </c>
      <c r="K135" s="41">
        <v>2623</v>
      </c>
      <c r="L135" s="67">
        <f t="shared" si="19"/>
        <v>104</v>
      </c>
      <c r="M135" s="41">
        <v>2719</v>
      </c>
      <c r="N135" s="67">
        <f t="shared" si="20"/>
        <v>96</v>
      </c>
      <c r="O135" s="41">
        <v>2809</v>
      </c>
      <c r="P135" s="67">
        <f t="shared" si="21"/>
        <v>90</v>
      </c>
      <c r="Q135" s="41">
        <v>2943</v>
      </c>
      <c r="R135" s="67">
        <f t="shared" si="22"/>
        <v>134</v>
      </c>
      <c r="S135" s="41"/>
      <c r="T135" s="67">
        <f t="shared" si="23"/>
        <v>0</v>
      </c>
      <c r="U135" s="41"/>
      <c r="V135" s="67">
        <f t="shared" si="24"/>
        <v>0</v>
      </c>
      <c r="W135" s="41"/>
      <c r="X135" s="67">
        <f t="shared" si="25"/>
        <v>0</v>
      </c>
      <c r="Y135" s="41"/>
      <c r="Z135" s="67">
        <f t="shared" si="26"/>
        <v>0</v>
      </c>
      <c r="AA135" s="41"/>
      <c r="AB135" s="67">
        <f t="shared" si="27"/>
        <v>0</v>
      </c>
      <c r="AC135" s="41"/>
      <c r="AD135" s="67">
        <f t="shared" si="28"/>
        <v>0</v>
      </c>
      <c r="AE135" s="41"/>
      <c r="AF135" s="108">
        <f t="shared" si="29"/>
        <v>0</v>
      </c>
      <c r="AG135" s="127">
        <f t="shared" si="30"/>
        <v>554</v>
      </c>
    </row>
    <row r="136" spans="1:33" ht="12.75" customHeight="1" x14ac:dyDescent="0.25">
      <c r="A136" s="337" t="s">
        <v>271</v>
      </c>
      <c r="B136" s="345"/>
      <c r="C136" s="57" t="s">
        <v>316</v>
      </c>
      <c r="D136" s="58" t="s">
        <v>65</v>
      </c>
      <c r="E136" s="59" t="s">
        <v>348</v>
      </c>
      <c r="F136" s="63" t="s">
        <v>349</v>
      </c>
      <c r="G136" s="116" t="s">
        <v>350</v>
      </c>
      <c r="H136" s="41">
        <v>20469</v>
      </c>
      <c r="I136" s="137">
        <v>21090</v>
      </c>
      <c r="J136" s="67">
        <f t="shared" si="18"/>
        <v>621</v>
      </c>
      <c r="K136" s="41">
        <v>21586</v>
      </c>
      <c r="L136" s="67">
        <f t="shared" si="19"/>
        <v>496</v>
      </c>
      <c r="M136" s="41">
        <v>22215</v>
      </c>
      <c r="N136" s="67">
        <f t="shared" si="20"/>
        <v>629</v>
      </c>
      <c r="O136" s="41">
        <v>22849</v>
      </c>
      <c r="P136" s="67">
        <f t="shared" si="21"/>
        <v>634</v>
      </c>
      <c r="Q136" s="41">
        <v>23405</v>
      </c>
      <c r="R136" s="67">
        <f t="shared" si="22"/>
        <v>556</v>
      </c>
      <c r="S136" s="41"/>
      <c r="T136" s="67">
        <f t="shared" si="23"/>
        <v>0</v>
      </c>
      <c r="U136" s="41"/>
      <c r="V136" s="67">
        <f t="shared" si="24"/>
        <v>0</v>
      </c>
      <c r="W136" s="41"/>
      <c r="X136" s="67">
        <f t="shared" si="25"/>
        <v>0</v>
      </c>
      <c r="Y136" s="41"/>
      <c r="Z136" s="67">
        <f t="shared" si="26"/>
        <v>0</v>
      </c>
      <c r="AA136" s="41"/>
      <c r="AB136" s="67">
        <f t="shared" si="27"/>
        <v>0</v>
      </c>
      <c r="AC136" s="41"/>
      <c r="AD136" s="67">
        <f t="shared" si="28"/>
        <v>0</v>
      </c>
      <c r="AE136" s="41"/>
      <c r="AF136" s="108">
        <f t="shared" si="29"/>
        <v>0</v>
      </c>
      <c r="AG136" s="127">
        <f t="shared" si="30"/>
        <v>2936</v>
      </c>
    </row>
    <row r="137" spans="1:33" ht="12.75" customHeight="1" x14ac:dyDescent="0.25">
      <c r="A137" s="338"/>
      <c r="B137" s="345"/>
      <c r="C137" s="57" t="s">
        <v>316</v>
      </c>
      <c r="D137" s="58" t="s">
        <v>65</v>
      </c>
      <c r="E137" s="59" t="s">
        <v>342</v>
      </c>
      <c r="F137" s="60">
        <v>38</v>
      </c>
      <c r="G137" s="115" t="s">
        <v>628</v>
      </c>
      <c r="H137" s="104"/>
      <c r="I137" s="104"/>
      <c r="J137" s="67">
        <v>75.3</v>
      </c>
      <c r="K137" s="104"/>
      <c r="L137" s="67">
        <v>71.5</v>
      </c>
      <c r="M137" s="104"/>
      <c r="N137" s="67">
        <v>58.6</v>
      </c>
      <c r="O137" s="104"/>
      <c r="P137" s="67">
        <v>34</v>
      </c>
      <c r="Q137" s="104"/>
      <c r="R137" s="67">
        <v>18.5</v>
      </c>
      <c r="S137" s="104"/>
      <c r="T137" s="67"/>
      <c r="U137" s="104"/>
      <c r="V137" s="67"/>
      <c r="W137" s="104"/>
      <c r="X137" s="67"/>
      <c r="Y137" s="104"/>
      <c r="Z137" s="67"/>
      <c r="AA137" s="104"/>
      <c r="AB137" s="67"/>
      <c r="AC137" s="104"/>
      <c r="AD137" s="67"/>
      <c r="AE137" s="104"/>
      <c r="AF137" s="108"/>
      <c r="AG137" s="127">
        <f t="shared" si="30"/>
        <v>257.89999999999998</v>
      </c>
    </row>
    <row r="138" spans="1:33" ht="12.75" customHeight="1" x14ac:dyDescent="0.25">
      <c r="A138" s="338"/>
      <c r="B138" s="345"/>
      <c r="C138" s="57" t="s">
        <v>316</v>
      </c>
      <c r="D138" s="58" t="s">
        <v>65</v>
      </c>
      <c r="E138" s="59" t="s">
        <v>337</v>
      </c>
      <c r="F138" s="60">
        <v>610021725</v>
      </c>
      <c r="G138" s="115" t="s">
        <v>355</v>
      </c>
      <c r="H138" s="41">
        <v>3562</v>
      </c>
      <c r="I138" s="41">
        <v>3607</v>
      </c>
      <c r="J138" s="67">
        <f t="shared" si="18"/>
        <v>45</v>
      </c>
      <c r="K138" s="41">
        <v>3653</v>
      </c>
      <c r="L138" s="67">
        <f t="shared" si="19"/>
        <v>46</v>
      </c>
      <c r="M138" s="41">
        <v>3696</v>
      </c>
      <c r="N138" s="67">
        <f t="shared" si="20"/>
        <v>43</v>
      </c>
      <c r="O138" s="41">
        <v>3741</v>
      </c>
      <c r="P138" s="67">
        <f t="shared" si="21"/>
        <v>45</v>
      </c>
      <c r="Q138" s="41">
        <v>3779</v>
      </c>
      <c r="R138" s="67">
        <f t="shared" si="22"/>
        <v>38</v>
      </c>
      <c r="S138" s="41"/>
      <c r="T138" s="67">
        <f t="shared" si="23"/>
        <v>0</v>
      </c>
      <c r="U138" s="41"/>
      <c r="V138" s="67">
        <f t="shared" si="24"/>
        <v>0</v>
      </c>
      <c r="W138" s="41"/>
      <c r="X138" s="67">
        <f t="shared" si="25"/>
        <v>0</v>
      </c>
      <c r="Y138" s="41"/>
      <c r="Z138" s="67">
        <f t="shared" si="26"/>
        <v>0</v>
      </c>
      <c r="AA138" s="41"/>
      <c r="AB138" s="67">
        <f t="shared" si="27"/>
        <v>0</v>
      </c>
      <c r="AC138" s="41"/>
      <c r="AD138" s="67">
        <f t="shared" si="28"/>
        <v>0</v>
      </c>
      <c r="AE138" s="41"/>
      <c r="AF138" s="108">
        <f t="shared" si="29"/>
        <v>0</v>
      </c>
      <c r="AG138" s="127">
        <f t="shared" si="30"/>
        <v>217</v>
      </c>
    </row>
    <row r="139" spans="1:33" ht="12.75" customHeight="1" x14ac:dyDescent="0.25">
      <c r="A139" s="340"/>
      <c r="B139" s="342" t="s">
        <v>196</v>
      </c>
      <c r="C139" s="88" t="s">
        <v>182</v>
      </c>
      <c r="D139" s="89" t="s">
        <v>58</v>
      </c>
      <c r="E139" s="90" t="s">
        <v>348</v>
      </c>
      <c r="F139" s="91" t="s">
        <v>428</v>
      </c>
      <c r="G139" s="118" t="s">
        <v>430</v>
      </c>
      <c r="H139" s="87">
        <v>91437</v>
      </c>
      <c r="I139" s="87">
        <v>92250</v>
      </c>
      <c r="J139" s="121">
        <f t="shared" ref="J139:J204" si="58">IF(I139&gt;0,I139-H139,)</f>
        <v>813</v>
      </c>
      <c r="K139" s="87">
        <v>92920</v>
      </c>
      <c r="L139" s="121">
        <f t="shared" si="19"/>
        <v>670</v>
      </c>
      <c r="M139" s="87">
        <v>93662</v>
      </c>
      <c r="N139" s="121">
        <f t="shared" si="20"/>
        <v>742</v>
      </c>
      <c r="O139" s="87">
        <v>94356</v>
      </c>
      <c r="P139" s="121">
        <f t="shared" si="21"/>
        <v>694</v>
      </c>
      <c r="Q139" s="87">
        <v>95014</v>
      </c>
      <c r="R139" s="121">
        <f t="shared" si="22"/>
        <v>658</v>
      </c>
      <c r="S139" s="87"/>
      <c r="T139" s="121"/>
      <c r="U139" s="87"/>
      <c r="V139" s="121"/>
      <c r="W139" s="87"/>
      <c r="X139" s="121"/>
      <c r="Y139" s="87"/>
      <c r="Z139" s="121"/>
      <c r="AA139" s="87"/>
      <c r="AB139" s="121"/>
      <c r="AC139" s="87"/>
      <c r="AD139" s="121"/>
      <c r="AE139" s="87"/>
      <c r="AF139" s="125"/>
      <c r="AG139" s="171">
        <f t="shared" ref="AG139:AG140" si="59">IF(AE139&gt;0,AE139-H139,)</f>
        <v>0</v>
      </c>
    </row>
    <row r="140" spans="1:33" ht="12.75" customHeight="1" x14ac:dyDescent="0.25">
      <c r="A140" s="341"/>
      <c r="B140" s="342"/>
      <c r="C140" s="88" t="s">
        <v>182</v>
      </c>
      <c r="D140" s="89" t="s">
        <v>58</v>
      </c>
      <c r="E140" s="90" t="s">
        <v>363</v>
      </c>
      <c r="F140" s="91" t="s">
        <v>428</v>
      </c>
      <c r="G140" s="111" t="s">
        <v>430</v>
      </c>
      <c r="H140" s="87">
        <v>26513</v>
      </c>
      <c r="I140" s="87">
        <v>26875</v>
      </c>
      <c r="J140" s="121">
        <f t="shared" si="58"/>
        <v>362</v>
      </c>
      <c r="K140" s="87">
        <v>27181</v>
      </c>
      <c r="L140" s="121">
        <f t="shared" si="19"/>
        <v>306</v>
      </c>
      <c r="M140" s="87">
        <v>27486</v>
      </c>
      <c r="N140" s="121">
        <f t="shared" ref="N140" si="60">IF(M140&gt;0,M140-K140,)</f>
        <v>305</v>
      </c>
      <c r="O140" s="87">
        <v>27777</v>
      </c>
      <c r="P140" s="121">
        <f t="shared" ref="P140" si="61">IF(O140&gt;0,O140-M140,)</f>
        <v>291</v>
      </c>
      <c r="Q140" s="87">
        <v>28047</v>
      </c>
      <c r="R140" s="121">
        <f t="shared" ref="R140" si="62">IF(Q140&gt;0,Q140-O140,)</f>
        <v>270</v>
      </c>
      <c r="S140" s="87"/>
      <c r="T140" s="121"/>
      <c r="U140" s="87"/>
      <c r="V140" s="121"/>
      <c r="W140" s="87"/>
      <c r="X140" s="121"/>
      <c r="Y140" s="87"/>
      <c r="Z140" s="121"/>
      <c r="AA140" s="87"/>
      <c r="AB140" s="121"/>
      <c r="AC140" s="87"/>
      <c r="AD140" s="121"/>
      <c r="AE140" s="87"/>
      <c r="AF140" s="125"/>
      <c r="AG140" s="171">
        <f t="shared" si="59"/>
        <v>0</v>
      </c>
    </row>
    <row r="141" spans="1:33" ht="12.75" customHeight="1" x14ac:dyDescent="0.25">
      <c r="A141" s="337" t="s">
        <v>272</v>
      </c>
      <c r="B141" s="342"/>
      <c r="C141" s="58" t="s">
        <v>189</v>
      </c>
      <c r="D141" s="58" t="s">
        <v>64</v>
      </c>
      <c r="E141" s="59" t="s">
        <v>348</v>
      </c>
      <c r="F141" s="60" t="s">
        <v>427</v>
      </c>
      <c r="G141" s="115" t="s">
        <v>431</v>
      </c>
      <c r="H141" s="61">
        <v>30848</v>
      </c>
      <c r="I141" s="41">
        <v>33249</v>
      </c>
      <c r="J141" s="67">
        <f t="shared" si="58"/>
        <v>2401</v>
      </c>
      <c r="K141" s="41">
        <v>35583</v>
      </c>
      <c r="L141" s="67">
        <f t="shared" ref="L141:L204" si="63">IF(K141&gt;0,K141-I141,)</f>
        <v>2334</v>
      </c>
      <c r="M141" s="41">
        <v>37400</v>
      </c>
      <c r="N141" s="67">
        <f t="shared" ref="N141:N204" si="64">IF(M141&gt;0,M141-K141,)</f>
        <v>1817</v>
      </c>
      <c r="O141" s="41">
        <v>38899</v>
      </c>
      <c r="P141" s="67">
        <f t="shared" ref="P141:P204" si="65">IF(O141&gt;0,O141-M141,)</f>
        <v>1499</v>
      </c>
      <c r="Q141" s="41">
        <v>40214</v>
      </c>
      <c r="R141" s="67">
        <f t="shared" ref="R141:R204" si="66">IF(Q141&gt;0,Q141-O141,)</f>
        <v>1315</v>
      </c>
      <c r="S141" s="41"/>
      <c r="T141" s="67">
        <f t="shared" ref="T141:T204" si="67">IF(S141&gt;0,S141-Q141,)</f>
        <v>0</v>
      </c>
      <c r="U141" s="41"/>
      <c r="V141" s="67">
        <f t="shared" ref="V141:V204" si="68">IF(U141&gt;0,U141-S141,)</f>
        <v>0</v>
      </c>
      <c r="W141" s="41"/>
      <c r="X141" s="67">
        <f t="shared" ref="X141:X204" si="69">IF(W141&gt;0,W141-U141,)</f>
        <v>0</v>
      </c>
      <c r="Y141" s="41"/>
      <c r="Z141" s="67">
        <f t="shared" ref="Z141:Z204" si="70">IF(Y141&gt;0,Y141-W141,)</f>
        <v>0</v>
      </c>
      <c r="AA141" s="41"/>
      <c r="AB141" s="67">
        <f t="shared" ref="AB141:AB204" si="71">IF(AA141&gt;0,AA141-Y141,)</f>
        <v>0</v>
      </c>
      <c r="AC141" s="41"/>
      <c r="AD141" s="67">
        <f t="shared" ref="AD141:AD204" si="72">IF(AC141&gt;0,AC141-AA141,)</f>
        <v>0</v>
      </c>
      <c r="AE141" s="41"/>
      <c r="AF141" s="108">
        <f t="shared" ref="AF141:AF204" si="73">IF(AE141&gt;0,AE141-AC141,)</f>
        <v>0</v>
      </c>
      <c r="AG141" s="127">
        <f t="shared" ref="AG141:AG204" si="74">J141+L141+N141+P141+R141+T141+V141+X141+Z141+AB141+AD141+AF141</f>
        <v>9366</v>
      </c>
    </row>
    <row r="142" spans="1:33" ht="12.75" customHeight="1" x14ac:dyDescent="0.25">
      <c r="A142" s="338"/>
      <c r="B142" s="342"/>
      <c r="C142" s="58" t="s">
        <v>189</v>
      </c>
      <c r="D142" s="58" t="s">
        <v>64</v>
      </c>
      <c r="E142" s="59" t="s">
        <v>363</v>
      </c>
      <c r="F142" s="60" t="s">
        <v>427</v>
      </c>
      <c r="G142" s="115" t="s">
        <v>431</v>
      </c>
      <c r="H142" s="61">
        <v>14000</v>
      </c>
      <c r="I142" s="41">
        <v>15021</v>
      </c>
      <c r="J142" s="67">
        <f t="shared" si="58"/>
        <v>1021</v>
      </c>
      <c r="K142" s="41">
        <v>16029</v>
      </c>
      <c r="L142" s="67">
        <f t="shared" si="63"/>
        <v>1008</v>
      </c>
      <c r="M142" s="41">
        <v>16928</v>
      </c>
      <c r="N142" s="67">
        <f t="shared" si="64"/>
        <v>899</v>
      </c>
      <c r="O142" s="41">
        <v>17689</v>
      </c>
      <c r="P142" s="67">
        <f t="shared" si="65"/>
        <v>761</v>
      </c>
      <c r="Q142" s="41">
        <v>18451</v>
      </c>
      <c r="R142" s="67">
        <f t="shared" si="66"/>
        <v>762</v>
      </c>
      <c r="S142" s="41"/>
      <c r="T142" s="67">
        <f t="shared" si="67"/>
        <v>0</v>
      </c>
      <c r="U142" s="41"/>
      <c r="V142" s="67">
        <f t="shared" si="68"/>
        <v>0</v>
      </c>
      <c r="W142" s="41"/>
      <c r="X142" s="67">
        <f t="shared" si="69"/>
        <v>0</v>
      </c>
      <c r="Y142" s="41"/>
      <c r="Z142" s="67">
        <f t="shared" si="70"/>
        <v>0</v>
      </c>
      <c r="AA142" s="41"/>
      <c r="AB142" s="67">
        <f t="shared" si="71"/>
        <v>0</v>
      </c>
      <c r="AC142" s="41"/>
      <c r="AD142" s="67">
        <f t="shared" si="72"/>
        <v>0</v>
      </c>
      <c r="AE142" s="41"/>
      <c r="AF142" s="108">
        <f t="shared" si="73"/>
        <v>0</v>
      </c>
      <c r="AG142" s="127">
        <f t="shared" si="74"/>
        <v>4451</v>
      </c>
    </row>
    <row r="143" spans="1:33" ht="12.75" customHeight="1" x14ac:dyDescent="0.25">
      <c r="A143" s="338"/>
      <c r="B143" s="342"/>
      <c r="C143" s="58" t="s">
        <v>189</v>
      </c>
      <c r="D143" s="58" t="s">
        <v>64</v>
      </c>
      <c r="E143" s="59" t="s">
        <v>342</v>
      </c>
      <c r="F143" s="60" t="s">
        <v>371</v>
      </c>
      <c r="G143" s="115"/>
      <c r="H143" s="41">
        <v>905.5</v>
      </c>
      <c r="I143" s="67">
        <v>940.1</v>
      </c>
      <c r="J143" s="67">
        <f t="shared" si="58"/>
        <v>34.600000000000023</v>
      </c>
      <c r="K143" s="41">
        <v>975.1</v>
      </c>
      <c r="L143" s="67">
        <f t="shared" si="63"/>
        <v>35</v>
      </c>
      <c r="M143" s="41">
        <v>1003.6</v>
      </c>
      <c r="N143" s="67">
        <f t="shared" si="64"/>
        <v>28.5</v>
      </c>
      <c r="O143" s="41">
        <v>1019</v>
      </c>
      <c r="P143" s="67">
        <f t="shared" si="65"/>
        <v>15.399999999999977</v>
      </c>
      <c r="Q143" s="41">
        <v>1029.2</v>
      </c>
      <c r="R143" s="67">
        <f t="shared" ref="R143" si="75">IF(Q143&gt;0,Q143-O143,)</f>
        <v>10.200000000000045</v>
      </c>
      <c r="S143" s="41"/>
      <c r="T143" s="67">
        <f t="shared" ref="T143" si="76">IF(S143&gt;0,S143-Q143,)</f>
        <v>0</v>
      </c>
      <c r="U143" s="41"/>
      <c r="V143" s="67">
        <f t="shared" ref="V143" si="77">IF(U143&gt;0,U143-S143,)</f>
        <v>0</v>
      </c>
      <c r="W143" s="41"/>
      <c r="X143" s="67">
        <f t="shared" ref="X143" si="78">IF(W143&gt;0,W143-U143,)</f>
        <v>0</v>
      </c>
      <c r="Y143" s="41"/>
      <c r="Z143" s="67">
        <f t="shared" ref="Z143" si="79">IF(Y143&gt;0,Y143-W143,)</f>
        <v>0</v>
      </c>
      <c r="AA143" s="41"/>
      <c r="AB143" s="67">
        <f t="shared" ref="AB143" si="80">IF(AA143&gt;0,AA143-Y143,)</f>
        <v>0</v>
      </c>
      <c r="AC143" s="41"/>
      <c r="AD143" s="67">
        <f t="shared" ref="AD143" si="81">IF(AC143&gt;0,AC143-AA143,)</f>
        <v>0</v>
      </c>
      <c r="AE143" s="41"/>
      <c r="AF143" s="108">
        <f t="shared" ref="AF143" si="82">IF(AE143&gt;0,AE143-AC143,)</f>
        <v>0</v>
      </c>
      <c r="AG143" s="127">
        <f t="shared" si="74"/>
        <v>123.70000000000005</v>
      </c>
    </row>
    <row r="144" spans="1:33" ht="12.75" customHeight="1" x14ac:dyDescent="0.25">
      <c r="A144" s="339"/>
      <c r="B144" s="342"/>
      <c r="C144" s="58" t="s">
        <v>189</v>
      </c>
      <c r="D144" s="58" t="s">
        <v>64</v>
      </c>
      <c r="E144" s="59" t="s">
        <v>337</v>
      </c>
      <c r="F144" s="60" t="s">
        <v>433</v>
      </c>
      <c r="G144" s="115" t="s">
        <v>434</v>
      </c>
      <c r="H144" s="41">
        <v>105</v>
      </c>
      <c r="I144" s="41">
        <v>109</v>
      </c>
      <c r="J144" s="67">
        <f t="shared" si="58"/>
        <v>4</v>
      </c>
      <c r="K144" s="41">
        <v>114</v>
      </c>
      <c r="L144" s="67">
        <f t="shared" si="63"/>
        <v>5</v>
      </c>
      <c r="M144" s="41">
        <v>120</v>
      </c>
      <c r="N144" s="67">
        <f t="shared" si="64"/>
        <v>6</v>
      </c>
      <c r="O144" s="41">
        <v>124</v>
      </c>
      <c r="P144" s="67">
        <f t="shared" si="65"/>
        <v>4</v>
      </c>
      <c r="Q144" s="41">
        <v>129</v>
      </c>
      <c r="R144" s="67">
        <f t="shared" si="66"/>
        <v>5</v>
      </c>
      <c r="S144" s="41"/>
      <c r="T144" s="67">
        <f t="shared" si="67"/>
        <v>0</v>
      </c>
      <c r="U144" s="41"/>
      <c r="V144" s="67">
        <f t="shared" si="68"/>
        <v>0</v>
      </c>
      <c r="W144" s="41"/>
      <c r="X144" s="67">
        <f t="shared" si="69"/>
        <v>0</v>
      </c>
      <c r="Y144" s="41"/>
      <c r="Z144" s="67">
        <f t="shared" si="70"/>
        <v>0</v>
      </c>
      <c r="AA144" s="41"/>
      <c r="AB144" s="67">
        <f t="shared" si="71"/>
        <v>0</v>
      </c>
      <c r="AC144" s="41"/>
      <c r="AD144" s="67">
        <f t="shared" si="72"/>
        <v>0</v>
      </c>
      <c r="AE144" s="41"/>
      <c r="AF144" s="108">
        <f t="shared" si="73"/>
        <v>0</v>
      </c>
      <c r="AG144" s="127">
        <f t="shared" si="74"/>
        <v>24</v>
      </c>
    </row>
    <row r="145" spans="1:35" ht="12.75" customHeight="1" x14ac:dyDescent="0.25">
      <c r="A145" s="337" t="s">
        <v>273</v>
      </c>
      <c r="B145" s="342"/>
      <c r="C145" s="57" t="s">
        <v>190</v>
      </c>
      <c r="D145" s="58" t="s">
        <v>59</v>
      </c>
      <c r="E145" s="59" t="s">
        <v>348</v>
      </c>
      <c r="F145" s="60" t="s">
        <v>429</v>
      </c>
      <c r="G145" s="115" t="s">
        <v>432</v>
      </c>
      <c r="H145" s="61">
        <v>14290</v>
      </c>
      <c r="I145" s="41">
        <v>14516</v>
      </c>
      <c r="J145" s="67">
        <f t="shared" si="58"/>
        <v>226</v>
      </c>
      <c r="K145" s="41">
        <v>14721</v>
      </c>
      <c r="L145" s="67">
        <f t="shared" si="63"/>
        <v>205</v>
      </c>
      <c r="M145" s="41">
        <v>14922</v>
      </c>
      <c r="N145" s="67">
        <f t="shared" si="64"/>
        <v>201</v>
      </c>
      <c r="O145" s="41">
        <v>15106</v>
      </c>
      <c r="P145" s="67">
        <f t="shared" si="65"/>
        <v>184</v>
      </c>
      <c r="Q145" s="41">
        <v>15274</v>
      </c>
      <c r="R145" s="67">
        <f t="shared" si="66"/>
        <v>168</v>
      </c>
      <c r="S145" s="41"/>
      <c r="T145" s="67">
        <f t="shared" si="67"/>
        <v>0</v>
      </c>
      <c r="U145" s="41"/>
      <c r="V145" s="67">
        <f t="shared" si="68"/>
        <v>0</v>
      </c>
      <c r="W145" s="41"/>
      <c r="X145" s="67">
        <f t="shared" si="69"/>
        <v>0</v>
      </c>
      <c r="Y145" s="41"/>
      <c r="Z145" s="67">
        <f t="shared" si="70"/>
        <v>0</v>
      </c>
      <c r="AA145" s="41"/>
      <c r="AB145" s="67">
        <f t="shared" si="71"/>
        <v>0</v>
      </c>
      <c r="AC145" s="41"/>
      <c r="AD145" s="67">
        <f t="shared" si="72"/>
        <v>0</v>
      </c>
      <c r="AE145" s="41"/>
      <c r="AF145" s="108">
        <f t="shared" si="73"/>
        <v>0</v>
      </c>
      <c r="AG145" s="127">
        <f t="shared" si="74"/>
        <v>984</v>
      </c>
    </row>
    <row r="146" spans="1:35" ht="12.75" customHeight="1" x14ac:dyDescent="0.25">
      <c r="A146" s="338"/>
      <c r="B146" s="342"/>
      <c r="C146" s="57" t="s">
        <v>190</v>
      </c>
      <c r="D146" s="58" t="s">
        <v>59</v>
      </c>
      <c r="E146" s="59" t="s">
        <v>342</v>
      </c>
      <c r="F146" s="60" t="s">
        <v>371</v>
      </c>
      <c r="G146" s="110" t="s">
        <v>770</v>
      </c>
      <c r="H146" s="41"/>
      <c r="I146" s="41">
        <v>35.07</v>
      </c>
      <c r="J146" s="67">
        <f t="shared" ref="J146" si="83">IF(I146&gt;0,I146-H146,)</f>
        <v>35.07</v>
      </c>
      <c r="K146" s="41">
        <v>57</v>
      </c>
      <c r="L146" s="67">
        <f t="shared" ref="L146" si="84">IF(K146&gt;0,K146-I146,)</f>
        <v>21.93</v>
      </c>
      <c r="M146" s="41">
        <v>75.430000000000007</v>
      </c>
      <c r="N146" s="67">
        <f t="shared" ref="N146" si="85">IF(M146&gt;0,M146-K146,)</f>
        <v>18.430000000000007</v>
      </c>
      <c r="O146" s="41">
        <v>99.15</v>
      </c>
      <c r="P146" s="67">
        <f t="shared" ref="P146" si="86">IF(O146&gt;0,O146-M146,)</f>
        <v>23.72</v>
      </c>
      <c r="Q146" s="41">
        <v>105.77</v>
      </c>
      <c r="R146" s="67">
        <f t="shared" ref="R146" si="87">IF(Q146&gt;0,Q146-O146,)</f>
        <v>6.6199999999999903</v>
      </c>
      <c r="S146" s="41"/>
      <c r="T146" s="67"/>
      <c r="U146" s="104"/>
      <c r="V146" s="67"/>
      <c r="W146" s="104"/>
      <c r="X146" s="67"/>
      <c r="Y146" s="104"/>
      <c r="Z146" s="67"/>
      <c r="AA146" s="104"/>
      <c r="AB146" s="67"/>
      <c r="AC146" s="104"/>
      <c r="AD146" s="67"/>
      <c r="AE146" s="104"/>
      <c r="AF146" s="108"/>
      <c r="AG146" s="127">
        <f t="shared" si="74"/>
        <v>105.77</v>
      </c>
    </row>
    <row r="147" spans="1:35" ht="12.75" customHeight="1" x14ac:dyDescent="0.25">
      <c r="A147" s="339"/>
      <c r="B147" s="342"/>
      <c r="C147" s="57" t="s">
        <v>190</v>
      </c>
      <c r="D147" s="58" t="s">
        <v>59</v>
      </c>
      <c r="E147" s="59" t="s">
        <v>337</v>
      </c>
      <c r="F147" s="105"/>
      <c r="G147" s="119"/>
      <c r="H147" s="104"/>
      <c r="I147" s="104"/>
      <c r="J147" s="122"/>
      <c r="K147" s="104"/>
      <c r="L147" s="122"/>
      <c r="M147" s="104"/>
      <c r="N147" s="122"/>
      <c r="O147" s="104"/>
      <c r="P147" s="122"/>
      <c r="Q147" s="104"/>
      <c r="R147" s="122"/>
      <c r="S147" s="104"/>
      <c r="T147" s="122"/>
      <c r="U147" s="104"/>
      <c r="V147" s="122"/>
      <c r="W147" s="104"/>
      <c r="X147" s="122"/>
      <c r="Y147" s="104"/>
      <c r="Z147" s="122"/>
      <c r="AA147" s="104"/>
      <c r="AB147" s="122"/>
      <c r="AC147" s="104"/>
      <c r="AD147" s="122"/>
      <c r="AE147" s="104"/>
      <c r="AF147" s="126"/>
      <c r="AG147" s="127">
        <f t="shared" si="74"/>
        <v>0</v>
      </c>
    </row>
    <row r="148" spans="1:35" ht="12.75" customHeight="1" x14ac:dyDescent="0.25">
      <c r="A148" s="175" t="s">
        <v>274</v>
      </c>
      <c r="B148" s="343" t="s">
        <v>195</v>
      </c>
      <c r="C148" s="134" t="s">
        <v>198</v>
      </c>
      <c r="D148" s="134" t="s">
        <v>43</v>
      </c>
      <c r="E148" s="59" t="s">
        <v>337</v>
      </c>
      <c r="F148" s="60" t="s">
        <v>699</v>
      </c>
      <c r="G148" s="110" t="s">
        <v>721</v>
      </c>
      <c r="H148" s="41">
        <v>1302</v>
      </c>
      <c r="I148" s="41">
        <v>1367</v>
      </c>
      <c r="J148" s="67">
        <f t="shared" ref="J148" si="88">IF(I148&gt;0,I148-H148,)</f>
        <v>65</v>
      </c>
      <c r="K148" s="41">
        <v>1435</v>
      </c>
      <c r="L148" s="67">
        <f t="shared" ref="L148" si="89">IF(K148&gt;0,K148-I148,)</f>
        <v>68</v>
      </c>
      <c r="M148" s="41">
        <v>1499</v>
      </c>
      <c r="N148" s="67">
        <f t="shared" ref="N148" si="90">IF(M148&gt;0,M148-K148,)</f>
        <v>64</v>
      </c>
      <c r="O148" s="41">
        <v>1560</v>
      </c>
      <c r="P148" s="67">
        <f t="shared" ref="P148" si="91">IF(O148&gt;0,O148-M148,)</f>
        <v>61</v>
      </c>
      <c r="Q148" s="41">
        <v>1615</v>
      </c>
      <c r="R148" s="67">
        <f t="shared" ref="R148" si="92">IF(Q148&gt;0,Q148-O148,)</f>
        <v>55</v>
      </c>
      <c r="S148" s="41"/>
      <c r="T148" s="67">
        <f t="shared" ref="T148" si="93">IF(S148&gt;0,S148-Q148,)</f>
        <v>0</v>
      </c>
      <c r="U148" s="41"/>
      <c r="V148" s="67">
        <f t="shared" ref="V148" si="94">IF(U148&gt;0,U148-S148,)</f>
        <v>0</v>
      </c>
      <c r="W148" s="41"/>
      <c r="X148" s="67">
        <f t="shared" ref="X148" si="95">IF(W148&gt;0,W148-U148,)</f>
        <v>0</v>
      </c>
      <c r="Y148" s="41"/>
      <c r="Z148" s="67">
        <f t="shared" ref="Z148" si="96">IF(Y148&gt;0,Y148-W148,)</f>
        <v>0</v>
      </c>
      <c r="AA148" s="41"/>
      <c r="AB148" s="67">
        <f t="shared" ref="AB148" si="97">IF(AA148&gt;0,AA148-Y148,)</f>
        <v>0</v>
      </c>
      <c r="AC148" s="41"/>
      <c r="AD148" s="67">
        <f t="shared" ref="AD148" si="98">IF(AC148&gt;0,AC148-AA148,)</f>
        <v>0</v>
      </c>
      <c r="AE148" s="41"/>
      <c r="AF148" s="108">
        <f t="shared" ref="AF148" si="99">IF(AE148&gt;0,AE148-AC148,)</f>
        <v>0</v>
      </c>
      <c r="AG148" s="127">
        <f t="shared" ref="AG148" si="100">J148+L148+N148+P148+R148+T148+V148+X148+Z148+AB148+AD148+AF148</f>
        <v>313</v>
      </c>
    </row>
    <row r="149" spans="1:35" ht="12.75" customHeight="1" x14ac:dyDescent="0.25">
      <c r="A149" s="330" t="s">
        <v>275</v>
      </c>
      <c r="B149" s="343"/>
      <c r="C149" s="134" t="s">
        <v>199</v>
      </c>
      <c r="D149" s="134" t="s">
        <v>240</v>
      </c>
      <c r="E149" s="59" t="s">
        <v>348</v>
      </c>
      <c r="F149" s="60" t="s">
        <v>629</v>
      </c>
      <c r="G149" s="115" t="s">
        <v>703</v>
      </c>
      <c r="H149" s="41">
        <v>1067278</v>
      </c>
      <c r="I149" s="41">
        <v>8423</v>
      </c>
      <c r="J149" s="67">
        <f>1068804-1067278+I149</f>
        <v>9949</v>
      </c>
      <c r="K149" s="41">
        <v>17258</v>
      </c>
      <c r="L149" s="67">
        <f t="shared" ref="L149" si="101">IF(K149&gt;0,K149-I149,)</f>
        <v>8835</v>
      </c>
      <c r="M149" s="41">
        <v>26110</v>
      </c>
      <c r="N149" s="67">
        <f t="shared" ref="N149" si="102">IF(M149&gt;0,M149-K149,)</f>
        <v>8852</v>
      </c>
      <c r="O149" s="41">
        <v>33178</v>
      </c>
      <c r="P149" s="67">
        <f t="shared" ref="P149" si="103">IF(O149&gt;0,O149-M149,)</f>
        <v>7068</v>
      </c>
      <c r="Q149" s="41">
        <v>40937</v>
      </c>
      <c r="R149" s="67">
        <f t="shared" ref="R149" si="104">IF(Q149&gt;0,Q149-O149,)</f>
        <v>7759</v>
      </c>
      <c r="S149" s="41"/>
      <c r="T149" s="67">
        <f t="shared" ref="T149" si="105">IF(S149&gt;0,S149-Q149,)</f>
        <v>0</v>
      </c>
      <c r="U149" s="41"/>
      <c r="V149" s="67">
        <f t="shared" ref="V149" si="106">IF(U149&gt;0,U149-S149,)</f>
        <v>0</v>
      </c>
      <c r="W149" s="41"/>
      <c r="X149" s="67">
        <f t="shared" ref="X149" si="107">IF(W149&gt;0,W149-U149,)</f>
        <v>0</v>
      </c>
      <c r="Y149" s="41"/>
      <c r="Z149" s="67">
        <f t="shared" ref="Z149" si="108">IF(Y149&gt;0,Y149-W149,)</f>
        <v>0</v>
      </c>
      <c r="AA149" s="41"/>
      <c r="AB149" s="67">
        <f t="shared" ref="AB149" si="109">IF(AA149&gt;0,AA149-Y149,)</f>
        <v>0</v>
      </c>
      <c r="AC149" s="41"/>
      <c r="AD149" s="67">
        <f t="shared" ref="AD149" si="110">IF(AC149&gt;0,AC149-AA149,)</f>
        <v>0</v>
      </c>
      <c r="AE149" s="41"/>
      <c r="AF149" s="108">
        <f t="shared" ref="AF149" si="111">IF(AE149&gt;0,AE149-AC149,)</f>
        <v>0</v>
      </c>
      <c r="AG149" s="127">
        <f t="shared" ref="AG149" si="112">J149+L149+N149+P149+R149+T149+V149+X149+Z149+AB149+AD149+AF149</f>
        <v>42463</v>
      </c>
    </row>
    <row r="150" spans="1:35" ht="12.75" customHeight="1" x14ac:dyDescent="0.25">
      <c r="A150" s="333"/>
      <c r="B150" s="343"/>
      <c r="C150" s="134" t="s">
        <v>199</v>
      </c>
      <c r="D150" s="134" t="s">
        <v>240</v>
      </c>
      <c r="E150" s="59" t="s">
        <v>363</v>
      </c>
      <c r="F150" s="60" t="s">
        <v>629</v>
      </c>
      <c r="G150" s="115" t="s">
        <v>703</v>
      </c>
      <c r="H150" s="41">
        <v>315121</v>
      </c>
      <c r="I150" s="41">
        <v>3255</v>
      </c>
      <c r="J150" s="67">
        <f>315807-H150+I150</f>
        <v>3941</v>
      </c>
      <c r="K150" s="41">
        <v>6816</v>
      </c>
      <c r="L150" s="67">
        <f t="shared" si="63"/>
        <v>3561</v>
      </c>
      <c r="M150" s="41">
        <v>10404</v>
      </c>
      <c r="N150" s="67">
        <f t="shared" si="64"/>
        <v>3588</v>
      </c>
      <c r="O150" s="41">
        <v>13209</v>
      </c>
      <c r="P150" s="67">
        <f t="shared" si="65"/>
        <v>2805</v>
      </c>
      <c r="Q150" s="41">
        <v>16168</v>
      </c>
      <c r="R150" s="67">
        <f t="shared" si="66"/>
        <v>2959</v>
      </c>
      <c r="S150" s="41"/>
      <c r="T150" s="67">
        <f t="shared" si="67"/>
        <v>0</v>
      </c>
      <c r="U150" s="41"/>
      <c r="V150" s="67">
        <f t="shared" si="68"/>
        <v>0</v>
      </c>
      <c r="W150" s="41"/>
      <c r="X150" s="67">
        <f t="shared" si="69"/>
        <v>0</v>
      </c>
      <c r="Y150" s="41"/>
      <c r="Z150" s="67">
        <f t="shared" si="70"/>
        <v>0</v>
      </c>
      <c r="AA150" s="41"/>
      <c r="AB150" s="67">
        <f t="shared" si="71"/>
        <v>0</v>
      </c>
      <c r="AC150" s="41"/>
      <c r="AD150" s="67">
        <f t="shared" si="72"/>
        <v>0</v>
      </c>
      <c r="AE150" s="41"/>
      <c r="AF150" s="108">
        <f t="shared" si="73"/>
        <v>0</v>
      </c>
      <c r="AG150" s="127">
        <f t="shared" si="74"/>
        <v>16854</v>
      </c>
    </row>
    <row r="151" spans="1:35" ht="12.75" customHeight="1" x14ac:dyDescent="0.25">
      <c r="A151" s="331" t="s">
        <v>276</v>
      </c>
      <c r="B151" s="343"/>
      <c r="C151" s="134" t="s">
        <v>200</v>
      </c>
      <c r="D151" s="134" t="s">
        <v>217</v>
      </c>
      <c r="E151" s="59" t="s">
        <v>337</v>
      </c>
      <c r="F151" s="60" t="s">
        <v>630</v>
      </c>
      <c r="G151" s="110" t="s">
        <v>722</v>
      </c>
      <c r="H151" s="41">
        <v>3978</v>
      </c>
      <c r="I151" s="41">
        <v>3978</v>
      </c>
      <c r="J151" s="67">
        <f t="shared" si="58"/>
        <v>0</v>
      </c>
      <c r="K151" s="41">
        <v>3978</v>
      </c>
      <c r="L151" s="67">
        <f t="shared" si="63"/>
        <v>0</v>
      </c>
      <c r="M151" s="41">
        <v>3982</v>
      </c>
      <c r="N151" s="67">
        <f t="shared" si="64"/>
        <v>4</v>
      </c>
      <c r="O151" s="41">
        <v>3993</v>
      </c>
      <c r="P151" s="67">
        <f t="shared" si="65"/>
        <v>11</v>
      </c>
      <c r="Q151" s="41">
        <v>4000</v>
      </c>
      <c r="R151" s="67">
        <f t="shared" si="66"/>
        <v>7</v>
      </c>
      <c r="S151" s="41"/>
      <c r="T151" s="67">
        <f t="shared" si="67"/>
        <v>0</v>
      </c>
      <c r="U151" s="41"/>
      <c r="V151" s="67">
        <f t="shared" si="68"/>
        <v>0</v>
      </c>
      <c r="W151" s="41"/>
      <c r="X151" s="67">
        <f t="shared" si="69"/>
        <v>0</v>
      </c>
      <c r="Y151" s="41"/>
      <c r="Z151" s="67">
        <f t="shared" si="70"/>
        <v>0</v>
      </c>
      <c r="AA151" s="41"/>
      <c r="AB151" s="67">
        <f t="shared" si="71"/>
        <v>0</v>
      </c>
      <c r="AC151" s="41"/>
      <c r="AD151" s="67">
        <f t="shared" si="72"/>
        <v>0</v>
      </c>
      <c r="AE151" s="41"/>
      <c r="AF151" s="108">
        <f t="shared" si="73"/>
        <v>0</v>
      </c>
      <c r="AG151" s="127">
        <f t="shared" si="74"/>
        <v>22</v>
      </c>
    </row>
    <row r="152" spans="1:35" ht="12.75" customHeight="1" x14ac:dyDescent="0.25">
      <c r="A152" s="333"/>
      <c r="B152" s="343"/>
      <c r="C152" s="134" t="s">
        <v>200</v>
      </c>
      <c r="D152" s="134" t="s">
        <v>217</v>
      </c>
      <c r="E152" s="59" t="s">
        <v>631</v>
      </c>
      <c r="F152" s="105"/>
      <c r="G152" s="119"/>
      <c r="H152" s="104"/>
      <c r="I152" s="104"/>
      <c r="J152" s="67">
        <v>10.67</v>
      </c>
      <c r="K152" s="104"/>
      <c r="L152" s="67">
        <v>17.2</v>
      </c>
      <c r="M152" s="104"/>
      <c r="N152" s="67">
        <v>5.25</v>
      </c>
      <c r="O152" s="104"/>
      <c r="P152" s="67">
        <f t="shared" si="65"/>
        <v>0</v>
      </c>
      <c r="Q152" s="104"/>
      <c r="R152" s="67">
        <f t="shared" si="66"/>
        <v>0</v>
      </c>
      <c r="S152" s="41"/>
      <c r="T152" s="67">
        <f t="shared" si="67"/>
        <v>0</v>
      </c>
      <c r="U152" s="41"/>
      <c r="V152" s="67">
        <f t="shared" si="68"/>
        <v>0</v>
      </c>
      <c r="W152" s="41"/>
      <c r="X152" s="67">
        <f t="shared" si="69"/>
        <v>0</v>
      </c>
      <c r="Y152" s="41"/>
      <c r="Z152" s="67">
        <f t="shared" si="70"/>
        <v>0</v>
      </c>
      <c r="AA152" s="41"/>
      <c r="AB152" s="67">
        <f t="shared" si="71"/>
        <v>0</v>
      </c>
      <c r="AC152" s="41"/>
      <c r="AD152" s="67">
        <f t="shared" si="72"/>
        <v>0</v>
      </c>
      <c r="AE152" s="41"/>
      <c r="AF152" s="108">
        <f t="shared" si="73"/>
        <v>0</v>
      </c>
      <c r="AG152" s="127">
        <f t="shared" si="74"/>
        <v>33.119999999999997</v>
      </c>
    </row>
    <row r="153" spans="1:35" ht="12.75" customHeight="1" x14ac:dyDescent="0.25">
      <c r="A153" s="330" t="s">
        <v>277</v>
      </c>
      <c r="B153" s="343" t="s">
        <v>210</v>
      </c>
      <c r="C153" s="39" t="s">
        <v>184</v>
      </c>
      <c r="D153" s="58" t="s">
        <v>44</v>
      </c>
      <c r="E153" s="59" t="s">
        <v>348</v>
      </c>
      <c r="F153" s="60" t="s">
        <v>454</v>
      </c>
      <c r="G153" s="115" t="s">
        <v>463</v>
      </c>
      <c r="H153" s="41">
        <v>37987</v>
      </c>
      <c r="I153" s="41">
        <v>39073</v>
      </c>
      <c r="J153" s="67">
        <f t="shared" si="58"/>
        <v>1086</v>
      </c>
      <c r="K153" s="41">
        <v>40159</v>
      </c>
      <c r="L153" s="67">
        <f t="shared" si="63"/>
        <v>1086</v>
      </c>
      <c r="M153" s="41">
        <v>41038</v>
      </c>
      <c r="N153" s="67">
        <f t="shared" si="64"/>
        <v>879</v>
      </c>
      <c r="O153" s="41">
        <v>41514</v>
      </c>
      <c r="P153" s="67">
        <f t="shared" si="65"/>
        <v>476</v>
      </c>
      <c r="Q153" s="41">
        <v>41819</v>
      </c>
      <c r="R153" s="67">
        <f t="shared" si="66"/>
        <v>305</v>
      </c>
      <c r="S153" s="41"/>
      <c r="T153" s="67">
        <f t="shared" si="67"/>
        <v>0</v>
      </c>
      <c r="U153" s="41"/>
      <c r="V153" s="67">
        <f t="shared" si="68"/>
        <v>0</v>
      </c>
      <c r="W153" s="41"/>
      <c r="X153" s="67">
        <f t="shared" si="69"/>
        <v>0</v>
      </c>
      <c r="Y153" s="41"/>
      <c r="Z153" s="67">
        <f t="shared" si="70"/>
        <v>0</v>
      </c>
      <c r="AA153" s="41"/>
      <c r="AB153" s="67">
        <f t="shared" si="71"/>
        <v>0</v>
      </c>
      <c r="AC153" s="41"/>
      <c r="AD153" s="67">
        <f t="shared" si="72"/>
        <v>0</v>
      </c>
      <c r="AE153" s="41"/>
      <c r="AF153" s="108">
        <f t="shared" si="73"/>
        <v>0</v>
      </c>
      <c r="AG153" s="127">
        <f t="shared" si="74"/>
        <v>3832</v>
      </c>
    </row>
    <row r="154" spans="1:35" ht="12.75" customHeight="1" x14ac:dyDescent="0.25">
      <c r="A154" s="331"/>
      <c r="B154" s="343"/>
      <c r="C154" s="39" t="s">
        <v>184</v>
      </c>
      <c r="D154" s="58" t="s">
        <v>44</v>
      </c>
      <c r="E154" s="59" t="s">
        <v>304</v>
      </c>
      <c r="F154" s="60" t="s">
        <v>384</v>
      </c>
      <c r="G154" s="115" t="s">
        <v>447</v>
      </c>
      <c r="H154" s="41"/>
      <c r="I154" s="41"/>
      <c r="J154" s="67">
        <f t="shared" si="58"/>
        <v>0</v>
      </c>
      <c r="K154" s="41">
        <v>6362.9</v>
      </c>
      <c r="L154" s="67">
        <f t="shared" si="63"/>
        <v>6362.9</v>
      </c>
      <c r="M154" s="41">
        <v>6714.6</v>
      </c>
      <c r="N154" s="67">
        <f t="shared" si="64"/>
        <v>351.70000000000073</v>
      </c>
      <c r="O154" s="41">
        <v>6850.3</v>
      </c>
      <c r="P154" s="67">
        <f t="shared" si="65"/>
        <v>135.69999999999982</v>
      </c>
      <c r="Q154" s="41">
        <v>6931.4</v>
      </c>
      <c r="R154" s="67">
        <f t="shared" si="66"/>
        <v>81.099999999999454</v>
      </c>
      <c r="S154" s="41"/>
      <c r="T154" s="67">
        <f t="shared" si="67"/>
        <v>0</v>
      </c>
      <c r="U154" s="41"/>
      <c r="V154" s="67">
        <f t="shared" si="68"/>
        <v>0</v>
      </c>
      <c r="W154" s="41"/>
      <c r="X154" s="67">
        <f t="shared" si="69"/>
        <v>0</v>
      </c>
      <c r="Y154" s="41"/>
      <c r="Z154" s="67">
        <f t="shared" si="70"/>
        <v>0</v>
      </c>
      <c r="AA154" s="41"/>
      <c r="AB154" s="67">
        <f t="shared" si="71"/>
        <v>0</v>
      </c>
      <c r="AC154" s="41"/>
      <c r="AD154" s="67">
        <f t="shared" si="72"/>
        <v>0</v>
      </c>
      <c r="AE154" s="41"/>
      <c r="AF154" s="108">
        <f t="shared" si="73"/>
        <v>0</v>
      </c>
      <c r="AG154" s="127">
        <f t="shared" si="74"/>
        <v>6931.4</v>
      </c>
    </row>
    <row r="155" spans="1:35" ht="12.75" customHeight="1" x14ac:dyDescent="0.25">
      <c r="A155" s="333"/>
      <c r="B155" s="343"/>
      <c r="C155" s="39" t="s">
        <v>184</v>
      </c>
      <c r="D155" s="58" t="s">
        <v>44</v>
      </c>
      <c r="E155" s="59" t="s">
        <v>337</v>
      </c>
      <c r="F155" s="60" t="s">
        <v>467</v>
      </c>
      <c r="G155" s="115" t="s">
        <v>632</v>
      </c>
      <c r="H155" s="41">
        <v>681</v>
      </c>
      <c r="I155" s="41">
        <v>684</v>
      </c>
      <c r="J155" s="67">
        <f t="shared" si="58"/>
        <v>3</v>
      </c>
      <c r="K155" s="41">
        <v>687.2</v>
      </c>
      <c r="L155" s="67">
        <f t="shared" si="63"/>
        <v>3.2000000000000455</v>
      </c>
      <c r="M155" s="41">
        <v>689.66</v>
      </c>
      <c r="N155" s="67">
        <f t="shared" si="64"/>
        <v>2.4599999999999227</v>
      </c>
      <c r="O155" s="41">
        <v>692</v>
      </c>
      <c r="P155" s="67">
        <f t="shared" si="65"/>
        <v>2.3400000000000318</v>
      </c>
      <c r="Q155" s="41">
        <v>694.3</v>
      </c>
      <c r="R155" s="67">
        <f t="shared" si="66"/>
        <v>2.2999999999999545</v>
      </c>
      <c r="S155" s="41"/>
      <c r="T155" s="67">
        <f t="shared" si="67"/>
        <v>0</v>
      </c>
      <c r="U155" s="41"/>
      <c r="V155" s="67">
        <f t="shared" si="68"/>
        <v>0</v>
      </c>
      <c r="W155" s="41"/>
      <c r="X155" s="67">
        <f t="shared" si="69"/>
        <v>0</v>
      </c>
      <c r="Y155" s="41"/>
      <c r="Z155" s="67">
        <f t="shared" si="70"/>
        <v>0</v>
      </c>
      <c r="AA155" s="41"/>
      <c r="AB155" s="67">
        <f t="shared" si="71"/>
        <v>0</v>
      </c>
      <c r="AC155" s="41"/>
      <c r="AD155" s="67">
        <f t="shared" si="72"/>
        <v>0</v>
      </c>
      <c r="AE155" s="41"/>
      <c r="AF155" s="108">
        <f t="shared" si="73"/>
        <v>0</v>
      </c>
      <c r="AG155" s="127">
        <f t="shared" si="74"/>
        <v>13.299999999999955</v>
      </c>
      <c r="AH155" s="47"/>
      <c r="AI155" s="47"/>
    </row>
    <row r="156" spans="1:35" ht="12.75" customHeight="1" x14ac:dyDescent="0.25">
      <c r="A156" s="330" t="s">
        <v>278</v>
      </c>
      <c r="B156" s="343"/>
      <c r="C156" s="131" t="s">
        <v>183</v>
      </c>
      <c r="D156" s="58" t="s">
        <v>60</v>
      </c>
      <c r="E156" s="59" t="s">
        <v>348</v>
      </c>
      <c r="F156" s="60" t="s">
        <v>453</v>
      </c>
      <c r="G156" s="115" t="s">
        <v>464</v>
      </c>
      <c r="H156" s="41">
        <v>94165</v>
      </c>
      <c r="I156" s="41">
        <v>95431</v>
      </c>
      <c r="J156" s="67">
        <f t="shared" si="58"/>
        <v>1266</v>
      </c>
      <c r="K156" s="41">
        <v>96698</v>
      </c>
      <c r="L156" s="67">
        <f t="shared" si="63"/>
        <v>1267</v>
      </c>
      <c r="M156" s="41">
        <v>97938</v>
      </c>
      <c r="N156" s="67">
        <f t="shared" si="64"/>
        <v>1240</v>
      </c>
      <c r="O156" s="41">
        <v>98849</v>
      </c>
      <c r="P156" s="67">
        <f t="shared" si="65"/>
        <v>911</v>
      </c>
      <c r="Q156" s="41">
        <v>99714</v>
      </c>
      <c r="R156" s="67">
        <f t="shared" si="66"/>
        <v>865</v>
      </c>
      <c r="S156" s="41"/>
      <c r="T156" s="67">
        <f t="shared" si="67"/>
        <v>0</v>
      </c>
      <c r="U156" s="41"/>
      <c r="V156" s="67">
        <f t="shared" si="68"/>
        <v>0</v>
      </c>
      <c r="W156" s="41"/>
      <c r="X156" s="67">
        <f t="shared" si="69"/>
        <v>0</v>
      </c>
      <c r="Y156" s="41"/>
      <c r="Z156" s="67">
        <f t="shared" si="70"/>
        <v>0</v>
      </c>
      <c r="AA156" s="41"/>
      <c r="AB156" s="67">
        <f t="shared" si="71"/>
        <v>0</v>
      </c>
      <c r="AC156" s="41"/>
      <c r="AD156" s="67">
        <f t="shared" si="72"/>
        <v>0</v>
      </c>
      <c r="AE156" s="41"/>
      <c r="AF156" s="108">
        <f t="shared" si="73"/>
        <v>0</v>
      </c>
      <c r="AG156" s="127">
        <f t="shared" si="74"/>
        <v>5549</v>
      </c>
    </row>
    <row r="157" spans="1:35" ht="12.75" customHeight="1" x14ac:dyDescent="0.25">
      <c r="A157" s="331"/>
      <c r="B157" s="343"/>
      <c r="C157" s="131" t="s">
        <v>183</v>
      </c>
      <c r="D157" s="58" t="s">
        <v>60</v>
      </c>
      <c r="E157" s="59" t="s">
        <v>710</v>
      </c>
      <c r="F157" s="60" t="s">
        <v>383</v>
      </c>
      <c r="G157" s="115" t="s">
        <v>633</v>
      </c>
      <c r="H157" s="104">
        <v>543.5</v>
      </c>
      <c r="I157" s="104">
        <v>593.79999999999995</v>
      </c>
      <c r="J157" s="67">
        <v>51.720999999999997</v>
      </c>
      <c r="K157" s="104">
        <v>645.20000000000005</v>
      </c>
      <c r="L157" s="67">
        <v>54.973999999999997</v>
      </c>
      <c r="M157" s="104">
        <v>662.6</v>
      </c>
      <c r="N157" s="67">
        <v>37.744</v>
      </c>
      <c r="O157" s="104"/>
      <c r="P157" s="67">
        <v>15.265000000000001</v>
      </c>
      <c r="Q157" s="104"/>
      <c r="R157" s="67">
        <v>7.5359999999999996</v>
      </c>
      <c r="S157" s="104"/>
      <c r="T157" s="67"/>
      <c r="U157" s="104"/>
      <c r="V157" s="67"/>
      <c r="W157" s="104"/>
      <c r="X157" s="67"/>
      <c r="Y157" s="104"/>
      <c r="Z157" s="67"/>
      <c r="AA157" s="104"/>
      <c r="AB157" s="67"/>
      <c r="AC157" s="104"/>
      <c r="AD157" s="67"/>
      <c r="AE157" s="104"/>
      <c r="AF157" s="108"/>
      <c r="AG157" s="127">
        <f t="shared" si="74"/>
        <v>167.24</v>
      </c>
    </row>
    <row r="158" spans="1:35" ht="12.75" customHeight="1" x14ac:dyDescent="0.25">
      <c r="A158" s="333"/>
      <c r="B158" s="343"/>
      <c r="C158" s="131" t="s">
        <v>183</v>
      </c>
      <c r="D158" s="58" t="s">
        <v>60</v>
      </c>
      <c r="E158" s="59" t="s">
        <v>337</v>
      </c>
      <c r="F158" s="60" t="s">
        <v>468</v>
      </c>
      <c r="G158" s="115" t="s">
        <v>361</v>
      </c>
      <c r="H158" s="41">
        <v>1225</v>
      </c>
      <c r="I158" s="41">
        <v>3</v>
      </c>
      <c r="J158" s="67">
        <f>1237-H158+I158</f>
        <v>15</v>
      </c>
      <c r="K158" s="41">
        <v>17.2</v>
      </c>
      <c r="L158" s="67">
        <f t="shared" si="63"/>
        <v>14.2</v>
      </c>
      <c r="M158" s="41">
        <v>37.6</v>
      </c>
      <c r="N158" s="67">
        <f t="shared" si="64"/>
        <v>20.400000000000002</v>
      </c>
      <c r="O158" s="41">
        <v>58.4</v>
      </c>
      <c r="P158" s="67">
        <f t="shared" si="65"/>
        <v>20.799999999999997</v>
      </c>
      <c r="Q158" s="41">
        <v>87.7</v>
      </c>
      <c r="R158" s="67">
        <f t="shared" si="66"/>
        <v>29.300000000000004</v>
      </c>
      <c r="S158" s="41"/>
      <c r="T158" s="67">
        <f t="shared" si="67"/>
        <v>0</v>
      </c>
      <c r="U158" s="41"/>
      <c r="V158" s="67">
        <f t="shared" si="68"/>
        <v>0</v>
      </c>
      <c r="W158" s="41"/>
      <c r="X158" s="67">
        <f t="shared" si="69"/>
        <v>0</v>
      </c>
      <c r="Y158" s="41"/>
      <c r="Z158" s="67">
        <f t="shared" si="70"/>
        <v>0</v>
      </c>
      <c r="AA158" s="41"/>
      <c r="AB158" s="67">
        <f t="shared" si="71"/>
        <v>0</v>
      </c>
      <c r="AC158" s="41"/>
      <c r="AD158" s="67">
        <f t="shared" si="72"/>
        <v>0</v>
      </c>
      <c r="AE158" s="41"/>
      <c r="AF158" s="108">
        <f t="shared" si="73"/>
        <v>0</v>
      </c>
      <c r="AG158" s="127">
        <f t="shared" si="74"/>
        <v>99.700000000000017</v>
      </c>
    </row>
    <row r="159" spans="1:35" s="47" customFormat="1" ht="12.75" customHeight="1" x14ac:dyDescent="0.25">
      <c r="A159" s="330" t="s">
        <v>279</v>
      </c>
      <c r="B159" s="343"/>
      <c r="C159" s="134" t="s">
        <v>46</v>
      </c>
      <c r="D159" s="134" t="s">
        <v>250</v>
      </c>
      <c r="E159" s="176" t="s">
        <v>380</v>
      </c>
      <c r="F159" s="40" t="s">
        <v>537</v>
      </c>
      <c r="G159" s="110" t="s">
        <v>681</v>
      </c>
      <c r="H159" s="41">
        <v>3570357</v>
      </c>
      <c r="I159" s="41">
        <v>3590595</v>
      </c>
      <c r="J159" s="67">
        <f t="shared" si="58"/>
        <v>20238</v>
      </c>
      <c r="K159" s="41">
        <v>3610590</v>
      </c>
      <c r="L159" s="67">
        <f t="shared" si="63"/>
        <v>19995</v>
      </c>
      <c r="M159" s="41">
        <v>3632057</v>
      </c>
      <c r="N159" s="67">
        <f t="shared" si="64"/>
        <v>21467</v>
      </c>
      <c r="O159" s="41">
        <v>3651931</v>
      </c>
      <c r="P159" s="67">
        <f t="shared" si="65"/>
        <v>19874</v>
      </c>
      <c r="Q159" s="41"/>
      <c r="R159" s="67">
        <f t="shared" si="66"/>
        <v>0</v>
      </c>
      <c r="S159" s="41"/>
      <c r="T159" s="67">
        <f t="shared" si="67"/>
        <v>0</v>
      </c>
      <c r="U159" s="41"/>
      <c r="V159" s="67">
        <f t="shared" si="68"/>
        <v>0</v>
      </c>
      <c r="W159" s="41"/>
      <c r="X159" s="67">
        <f t="shared" si="69"/>
        <v>0</v>
      </c>
      <c r="Y159" s="41"/>
      <c r="Z159" s="67">
        <f t="shared" si="70"/>
        <v>0</v>
      </c>
      <c r="AA159" s="41"/>
      <c r="AB159" s="67">
        <f t="shared" si="71"/>
        <v>0</v>
      </c>
      <c r="AC159" s="41"/>
      <c r="AD159" s="67">
        <f t="shared" si="72"/>
        <v>0</v>
      </c>
      <c r="AE159" s="41"/>
      <c r="AF159" s="108">
        <f t="shared" si="73"/>
        <v>0</v>
      </c>
      <c r="AG159" s="127">
        <f t="shared" si="74"/>
        <v>81574</v>
      </c>
    </row>
    <row r="160" spans="1:35" ht="12.6" customHeight="1" x14ac:dyDescent="0.25">
      <c r="A160" s="331"/>
      <c r="B160" s="343"/>
      <c r="C160" s="39" t="s">
        <v>46</v>
      </c>
      <c r="D160" s="39" t="s">
        <v>250</v>
      </c>
      <c r="E160" s="128" t="s">
        <v>342</v>
      </c>
      <c r="F160" s="40" t="s">
        <v>477</v>
      </c>
      <c r="G160" s="110" t="s">
        <v>371</v>
      </c>
      <c r="H160" s="104"/>
      <c r="I160" s="104"/>
      <c r="J160" s="67">
        <v>499.9</v>
      </c>
      <c r="K160" s="104"/>
      <c r="L160" s="67">
        <v>429.2</v>
      </c>
      <c r="M160" s="104"/>
      <c r="N160" s="67">
        <v>396.1</v>
      </c>
      <c r="O160" s="104"/>
      <c r="P160" s="67">
        <v>252.6</v>
      </c>
      <c r="Q160" s="104"/>
      <c r="R160" s="67">
        <v>155.9</v>
      </c>
      <c r="S160" s="104"/>
      <c r="T160" s="67"/>
      <c r="U160" s="104"/>
      <c r="V160" s="67"/>
      <c r="W160" s="104"/>
      <c r="X160" s="67"/>
      <c r="Y160" s="104"/>
      <c r="Z160" s="67"/>
      <c r="AA160" s="104"/>
      <c r="AB160" s="67"/>
      <c r="AC160" s="104"/>
      <c r="AD160" s="67"/>
      <c r="AE160" s="104"/>
      <c r="AF160" s="108"/>
      <c r="AG160" s="127">
        <f t="shared" si="74"/>
        <v>1733.6999999999998</v>
      </c>
    </row>
    <row r="161" spans="1:33" s="47" customFormat="1" ht="12.75" customHeight="1" x14ac:dyDescent="0.25">
      <c r="A161" s="331"/>
      <c r="B161" s="343"/>
      <c r="C161" s="134" t="s">
        <v>48</v>
      </c>
      <c r="D161" s="134" t="s">
        <v>250</v>
      </c>
      <c r="E161" s="176" t="s">
        <v>304</v>
      </c>
      <c r="F161" s="40" t="s">
        <v>445</v>
      </c>
      <c r="G161" s="110" t="s">
        <v>446</v>
      </c>
      <c r="H161" s="41">
        <v>0.216</v>
      </c>
      <c r="I161" s="41">
        <v>0.216</v>
      </c>
      <c r="J161" s="67">
        <f t="shared" si="58"/>
        <v>0</v>
      </c>
      <c r="K161" s="41">
        <v>0.216</v>
      </c>
      <c r="L161" s="67">
        <f t="shared" si="63"/>
        <v>0</v>
      </c>
      <c r="M161" s="41">
        <v>0.216</v>
      </c>
      <c r="N161" s="67">
        <f t="shared" si="64"/>
        <v>0</v>
      </c>
      <c r="O161" s="41">
        <v>0.216</v>
      </c>
      <c r="P161" s="67">
        <f t="shared" si="65"/>
        <v>0</v>
      </c>
      <c r="Q161" s="41"/>
      <c r="R161" s="67">
        <f t="shared" si="66"/>
        <v>0</v>
      </c>
      <c r="S161" s="41"/>
      <c r="T161" s="67">
        <f t="shared" si="67"/>
        <v>0</v>
      </c>
      <c r="U161" s="41"/>
      <c r="V161" s="67">
        <f t="shared" si="68"/>
        <v>0</v>
      </c>
      <c r="W161" s="41"/>
      <c r="X161" s="67">
        <f t="shared" si="69"/>
        <v>0</v>
      </c>
      <c r="Y161" s="41"/>
      <c r="Z161" s="67">
        <f t="shared" si="70"/>
        <v>0</v>
      </c>
      <c r="AA161" s="41"/>
      <c r="AB161" s="67">
        <f t="shared" si="71"/>
        <v>0</v>
      </c>
      <c r="AC161" s="41"/>
      <c r="AD161" s="67">
        <f t="shared" si="72"/>
        <v>0</v>
      </c>
      <c r="AE161" s="41"/>
      <c r="AF161" s="108">
        <f t="shared" si="73"/>
        <v>0</v>
      </c>
      <c r="AG161" s="127">
        <f t="shared" si="74"/>
        <v>0</v>
      </c>
    </row>
    <row r="162" spans="1:33" s="47" customFormat="1" ht="12.75" customHeight="1" x14ac:dyDescent="0.25">
      <c r="A162" s="331"/>
      <c r="B162" s="343"/>
      <c r="C162" s="134" t="s">
        <v>47</v>
      </c>
      <c r="D162" s="134" t="s">
        <v>250</v>
      </c>
      <c r="E162" s="176" t="s">
        <v>337</v>
      </c>
      <c r="F162" s="40" t="s">
        <v>473</v>
      </c>
      <c r="G162" s="110" t="s">
        <v>474</v>
      </c>
      <c r="H162" s="41">
        <v>15036</v>
      </c>
      <c r="I162" s="41">
        <v>15793</v>
      </c>
      <c r="J162" s="67">
        <f t="shared" si="58"/>
        <v>757</v>
      </c>
      <c r="K162" s="41">
        <v>16487</v>
      </c>
      <c r="L162" s="67">
        <f t="shared" si="63"/>
        <v>694</v>
      </c>
      <c r="M162" s="41">
        <v>17255</v>
      </c>
      <c r="N162" s="67">
        <f t="shared" si="64"/>
        <v>768</v>
      </c>
      <c r="O162" s="41">
        <v>17994</v>
      </c>
      <c r="P162" s="67">
        <f t="shared" si="65"/>
        <v>739</v>
      </c>
      <c r="Q162" s="41"/>
      <c r="R162" s="67">
        <f t="shared" si="66"/>
        <v>0</v>
      </c>
      <c r="S162" s="41"/>
      <c r="T162" s="67">
        <f t="shared" si="67"/>
        <v>0</v>
      </c>
      <c r="U162" s="41"/>
      <c r="V162" s="67">
        <f t="shared" si="68"/>
        <v>0</v>
      </c>
      <c r="W162" s="41"/>
      <c r="X162" s="67">
        <f t="shared" si="69"/>
        <v>0</v>
      </c>
      <c r="Y162" s="41"/>
      <c r="Z162" s="67">
        <f t="shared" si="70"/>
        <v>0</v>
      </c>
      <c r="AA162" s="41"/>
      <c r="AB162" s="67">
        <f t="shared" si="71"/>
        <v>0</v>
      </c>
      <c r="AC162" s="41"/>
      <c r="AD162" s="67">
        <f t="shared" si="72"/>
        <v>0</v>
      </c>
      <c r="AE162" s="41"/>
      <c r="AF162" s="108">
        <f t="shared" si="73"/>
        <v>0</v>
      </c>
      <c r="AG162" s="127">
        <f t="shared" si="74"/>
        <v>2958</v>
      </c>
    </row>
    <row r="163" spans="1:33" s="47" customFormat="1" ht="12.75" customHeight="1" x14ac:dyDescent="0.25">
      <c r="A163" s="331"/>
      <c r="B163" s="343"/>
      <c r="C163" s="134" t="s">
        <v>47</v>
      </c>
      <c r="D163" s="134" t="s">
        <v>250</v>
      </c>
      <c r="E163" s="176" t="s">
        <v>304</v>
      </c>
      <c r="F163" s="40" t="s">
        <v>443</v>
      </c>
      <c r="G163" s="110" t="s">
        <v>444</v>
      </c>
      <c r="H163" s="41">
        <v>103</v>
      </c>
      <c r="I163" s="41">
        <v>103</v>
      </c>
      <c r="J163" s="67">
        <f t="shared" si="58"/>
        <v>0</v>
      </c>
      <c r="K163" s="41">
        <v>103</v>
      </c>
      <c r="L163" s="67">
        <f t="shared" si="63"/>
        <v>0</v>
      </c>
      <c r="M163" s="41">
        <v>103</v>
      </c>
      <c r="N163" s="67">
        <f t="shared" si="64"/>
        <v>0</v>
      </c>
      <c r="O163" s="41">
        <v>103</v>
      </c>
      <c r="P163" s="67">
        <f t="shared" si="65"/>
        <v>0</v>
      </c>
      <c r="Q163" s="41"/>
      <c r="R163" s="67">
        <f t="shared" si="66"/>
        <v>0</v>
      </c>
      <c r="S163" s="41"/>
      <c r="T163" s="67">
        <f t="shared" si="67"/>
        <v>0</v>
      </c>
      <c r="U163" s="41"/>
      <c r="V163" s="67">
        <f t="shared" si="68"/>
        <v>0</v>
      </c>
      <c r="W163" s="41"/>
      <c r="X163" s="67">
        <f t="shared" si="69"/>
        <v>0</v>
      </c>
      <c r="Y163" s="41"/>
      <c r="Z163" s="67">
        <f t="shared" si="70"/>
        <v>0</v>
      </c>
      <c r="AA163" s="41"/>
      <c r="AB163" s="67">
        <f t="shared" si="71"/>
        <v>0</v>
      </c>
      <c r="AC163" s="41"/>
      <c r="AD163" s="67">
        <f t="shared" si="72"/>
        <v>0</v>
      </c>
      <c r="AE163" s="41"/>
      <c r="AF163" s="108">
        <f t="shared" si="73"/>
        <v>0</v>
      </c>
      <c r="AG163" s="127">
        <f t="shared" si="74"/>
        <v>0</v>
      </c>
    </row>
    <row r="164" spans="1:33" ht="12.75" customHeight="1" x14ac:dyDescent="0.25">
      <c r="A164" s="331"/>
      <c r="B164" s="343"/>
      <c r="C164" s="39" t="s">
        <v>78</v>
      </c>
      <c r="D164" s="39" t="s">
        <v>250</v>
      </c>
      <c r="E164" s="128" t="s">
        <v>342</v>
      </c>
      <c r="F164" s="40" t="s">
        <v>475</v>
      </c>
      <c r="G164" s="110" t="s">
        <v>371</v>
      </c>
      <c r="H164" s="104"/>
      <c r="I164" s="104"/>
      <c r="J164" s="67">
        <v>117.7</v>
      </c>
      <c r="K164" s="104"/>
      <c r="L164" s="67">
        <v>125.4</v>
      </c>
      <c r="M164" s="104"/>
      <c r="N164" s="67">
        <v>70.5</v>
      </c>
      <c r="O164" s="104"/>
      <c r="P164" s="67">
        <v>16.8</v>
      </c>
      <c r="Q164" s="104"/>
      <c r="R164" s="67">
        <v>0</v>
      </c>
      <c r="S164" s="104"/>
      <c r="T164" s="67"/>
      <c r="U164" s="104"/>
      <c r="V164" s="67"/>
      <c r="W164" s="104"/>
      <c r="X164" s="67"/>
      <c r="Y164" s="104"/>
      <c r="Z164" s="67"/>
      <c r="AA164" s="104"/>
      <c r="AB164" s="67"/>
      <c r="AC164" s="104"/>
      <c r="AD164" s="67"/>
      <c r="AE164" s="104"/>
      <c r="AF164" s="108"/>
      <c r="AG164" s="127">
        <f t="shared" si="74"/>
        <v>330.40000000000003</v>
      </c>
    </row>
    <row r="165" spans="1:33" ht="12.75" customHeight="1" x14ac:dyDescent="0.25">
      <c r="A165" s="331"/>
      <c r="B165" s="343"/>
      <c r="C165" s="134" t="s">
        <v>78</v>
      </c>
      <c r="D165" s="134" t="s">
        <v>250</v>
      </c>
      <c r="E165" s="214" t="s">
        <v>337</v>
      </c>
      <c r="F165" s="40" t="s">
        <v>729</v>
      </c>
      <c r="G165" s="217" t="s">
        <v>731</v>
      </c>
      <c r="H165" s="41"/>
      <c r="I165" s="41"/>
      <c r="J165" s="67">
        <f t="shared" ref="J165" si="113">IF(I165&gt;0,I165-H165,)</f>
        <v>0</v>
      </c>
      <c r="K165" s="41"/>
      <c r="L165" s="67">
        <f t="shared" ref="L165" si="114">IF(K165&gt;0,K165-I165,)</f>
        <v>0</v>
      </c>
      <c r="M165" s="41"/>
      <c r="N165" s="67">
        <f t="shared" ref="N165" si="115">IF(M165&gt;0,M165-K165,)</f>
        <v>0</v>
      </c>
      <c r="O165" s="41">
        <v>163</v>
      </c>
      <c r="P165" s="67">
        <f t="shared" ref="P165" si="116">IF(O165&gt;0,O165-M165,)</f>
        <v>163</v>
      </c>
      <c r="Q165" s="41"/>
      <c r="R165" s="67">
        <f t="shared" ref="R165" si="117">IF(Q165&gt;0,Q165-O165,)</f>
        <v>0</v>
      </c>
      <c r="S165" s="41"/>
      <c r="T165" s="67">
        <f t="shared" ref="T165" si="118">IF(S165&gt;0,S165-Q165,)</f>
        <v>0</v>
      </c>
      <c r="U165" s="41"/>
      <c r="V165" s="67">
        <f t="shared" ref="V165" si="119">IF(U165&gt;0,U165-S165,)</f>
        <v>0</v>
      </c>
      <c r="W165" s="41"/>
      <c r="X165" s="67">
        <f t="shared" ref="X165" si="120">IF(W165&gt;0,W165-U165,)</f>
        <v>0</v>
      </c>
      <c r="Y165" s="41"/>
      <c r="Z165" s="67">
        <f t="shared" ref="Z165" si="121">IF(Y165&gt;0,Y165-W165,)</f>
        <v>0</v>
      </c>
      <c r="AA165" s="41"/>
      <c r="AB165" s="67">
        <f t="shared" ref="AB165" si="122">IF(AA165&gt;0,AA165-Y165,)</f>
        <v>0</v>
      </c>
      <c r="AC165" s="41"/>
      <c r="AD165" s="67">
        <f t="shared" ref="AD165" si="123">IF(AC165&gt;0,AC165-AA165,)</f>
        <v>0</v>
      </c>
      <c r="AE165" s="41"/>
      <c r="AF165" s="108">
        <f t="shared" ref="AF165" si="124">IF(AE165&gt;0,AE165-AC165,)</f>
        <v>0</v>
      </c>
      <c r="AG165" s="127">
        <f t="shared" ref="AG165" si="125">J165+L165+N165+P165+R165+T165+V165+X165+Z165+AB165+AD165+AF165</f>
        <v>163</v>
      </c>
    </row>
    <row r="166" spans="1:33" ht="12.75" customHeight="1" x14ac:dyDescent="0.25">
      <c r="A166" s="331"/>
      <c r="B166" s="343"/>
      <c r="C166" s="134" t="s">
        <v>79</v>
      </c>
      <c r="D166" s="134" t="s">
        <v>250</v>
      </c>
      <c r="E166" s="214" t="s">
        <v>380</v>
      </c>
      <c r="F166" s="40" t="s">
        <v>732</v>
      </c>
      <c r="G166" s="217"/>
      <c r="H166" s="41">
        <v>215906</v>
      </c>
      <c r="I166" s="41">
        <v>216603</v>
      </c>
      <c r="J166" s="67">
        <f t="shared" ref="J166" si="126">IF(I166&gt;0,I166-H166,)</f>
        <v>697</v>
      </c>
      <c r="K166" s="41">
        <v>217118</v>
      </c>
      <c r="L166" s="67">
        <f t="shared" ref="L166" si="127">IF(K166&gt;0,K166-I166,)</f>
        <v>515</v>
      </c>
      <c r="M166" s="41">
        <v>217427</v>
      </c>
      <c r="N166" s="67">
        <f t="shared" ref="N166" si="128">IF(M166&gt;0,M166-K166,)</f>
        <v>309</v>
      </c>
      <c r="O166" s="41">
        <v>217861</v>
      </c>
      <c r="P166" s="67">
        <f t="shared" ref="P166" si="129">IF(O166&gt;0,O166-M166,)</f>
        <v>434</v>
      </c>
      <c r="Q166" s="41"/>
      <c r="R166" s="67">
        <f t="shared" ref="R166" si="130">IF(Q166&gt;0,Q166-O166,)</f>
        <v>0</v>
      </c>
      <c r="S166" s="41"/>
      <c r="T166" s="67">
        <f t="shared" ref="T166" si="131">IF(S166&gt;0,S166-Q166,)</f>
        <v>0</v>
      </c>
      <c r="U166" s="41"/>
      <c r="V166" s="67">
        <f t="shared" ref="V166" si="132">IF(U166&gt;0,U166-S166,)</f>
        <v>0</v>
      </c>
      <c r="W166" s="41"/>
      <c r="X166" s="67">
        <f t="shared" ref="X166" si="133">IF(W166&gt;0,W166-U166,)</f>
        <v>0</v>
      </c>
      <c r="Y166" s="41"/>
      <c r="Z166" s="67">
        <f t="shared" ref="Z166" si="134">IF(Y166&gt;0,Y166-W166,)</f>
        <v>0</v>
      </c>
      <c r="AA166" s="41"/>
      <c r="AB166" s="67">
        <f t="shared" ref="AB166" si="135">IF(AA166&gt;0,AA166-Y166,)</f>
        <v>0</v>
      </c>
      <c r="AC166" s="41"/>
      <c r="AD166" s="67">
        <f t="shared" ref="AD166" si="136">IF(AC166&gt;0,AC166-AA166,)</f>
        <v>0</v>
      </c>
      <c r="AE166" s="41"/>
      <c r="AF166" s="108">
        <f t="shared" ref="AF166" si="137">IF(AE166&gt;0,AE166-AC166,)</f>
        <v>0</v>
      </c>
      <c r="AG166" s="127">
        <f t="shared" ref="AG166" si="138">J166+L166+N166+P166+R166+T166+V166+X166+Z166+AB166+AD166+AF166</f>
        <v>1955</v>
      </c>
    </row>
    <row r="167" spans="1:33" ht="12.75" customHeight="1" x14ac:dyDescent="0.25">
      <c r="A167" s="333"/>
      <c r="B167" s="343"/>
      <c r="C167" s="39" t="s">
        <v>79</v>
      </c>
      <c r="D167" s="39" t="s">
        <v>250</v>
      </c>
      <c r="E167" s="128" t="s">
        <v>342</v>
      </c>
      <c r="F167" s="40" t="s">
        <v>476</v>
      </c>
      <c r="G167" s="110" t="s">
        <v>371</v>
      </c>
      <c r="H167" s="104"/>
      <c r="I167" s="104"/>
      <c r="J167" s="67">
        <v>66.400000000000006</v>
      </c>
      <c r="K167" s="104"/>
      <c r="L167" s="67">
        <v>52.4</v>
      </c>
      <c r="M167" s="104"/>
      <c r="N167" s="67">
        <v>45.5</v>
      </c>
      <c r="O167" s="104"/>
      <c r="P167" s="67">
        <v>28.9</v>
      </c>
      <c r="Q167" s="104"/>
      <c r="R167" s="67">
        <v>17</v>
      </c>
      <c r="S167" s="104"/>
      <c r="T167" s="67"/>
      <c r="U167" s="104"/>
      <c r="V167" s="67"/>
      <c r="W167" s="104"/>
      <c r="X167" s="67"/>
      <c r="Y167" s="104"/>
      <c r="Z167" s="67"/>
      <c r="AA167" s="104"/>
      <c r="AB167" s="67"/>
      <c r="AC167" s="104"/>
      <c r="AD167" s="67"/>
      <c r="AE167" s="104"/>
      <c r="AF167" s="108"/>
      <c r="AG167" s="127">
        <f t="shared" si="74"/>
        <v>210.20000000000002</v>
      </c>
    </row>
    <row r="168" spans="1:33" ht="12.75" customHeight="1" x14ac:dyDescent="0.25">
      <c r="A168" s="337" t="s">
        <v>280</v>
      </c>
      <c r="B168" s="343"/>
      <c r="C168" s="38" t="s">
        <v>211</v>
      </c>
      <c r="D168" s="39" t="s">
        <v>249</v>
      </c>
      <c r="E168" s="128" t="s">
        <v>380</v>
      </c>
      <c r="F168" s="40" t="s">
        <v>730</v>
      </c>
      <c r="G168" s="110" t="s">
        <v>371</v>
      </c>
      <c r="H168" s="41">
        <v>0</v>
      </c>
      <c r="I168" s="41">
        <v>0</v>
      </c>
      <c r="J168" s="67">
        <f t="shared" ref="J168" si="139">IF(I168&gt;0,I168-H168,)</f>
        <v>0</v>
      </c>
      <c r="K168" s="41">
        <v>0</v>
      </c>
      <c r="L168" s="67">
        <f t="shared" ref="L168" si="140">IF(K168&gt;0,K168-I168,)</f>
        <v>0</v>
      </c>
      <c r="M168" s="41">
        <v>0</v>
      </c>
      <c r="N168" s="67">
        <f t="shared" ref="N168" si="141">IF(M168&gt;0,M168-K168,)</f>
        <v>0</v>
      </c>
      <c r="O168" s="41">
        <v>125</v>
      </c>
      <c r="P168" s="67">
        <f t="shared" ref="P168" si="142">IF(O168&gt;0,O168-M168,)</f>
        <v>125</v>
      </c>
      <c r="Q168" s="41"/>
      <c r="R168" s="67">
        <f t="shared" ref="R168" si="143">IF(Q168&gt;0,Q168-O168,)</f>
        <v>0</v>
      </c>
      <c r="S168" s="41"/>
      <c r="T168" s="67">
        <f t="shared" ref="T168" si="144">IF(S168&gt;0,S168-Q168,)</f>
        <v>0</v>
      </c>
      <c r="U168" s="41"/>
      <c r="V168" s="67">
        <f t="shared" ref="V168" si="145">IF(U168&gt;0,U168-S168,)</f>
        <v>0</v>
      </c>
      <c r="W168" s="41"/>
      <c r="X168" s="67">
        <f t="shared" ref="X168" si="146">IF(W168&gt;0,W168-U168,)</f>
        <v>0</v>
      </c>
      <c r="Y168" s="41"/>
      <c r="Z168" s="67">
        <f t="shared" ref="Z168" si="147">IF(Y168&gt;0,Y168-W168,)</f>
        <v>0</v>
      </c>
      <c r="AA168" s="41"/>
      <c r="AB168" s="67">
        <f t="shared" ref="AB168" si="148">IF(AA168&gt;0,AA168-Y168,)</f>
        <v>0</v>
      </c>
      <c r="AC168" s="41"/>
      <c r="AD168" s="67">
        <f t="shared" ref="AD168" si="149">IF(AC168&gt;0,AC168-AA168,)</f>
        <v>0</v>
      </c>
      <c r="AE168" s="41"/>
      <c r="AF168" s="108">
        <f t="shared" ref="AF168" si="150">IF(AE168&gt;0,AE168-AC168,)</f>
        <v>0</v>
      </c>
      <c r="AG168" s="127">
        <f t="shared" si="74"/>
        <v>125</v>
      </c>
    </row>
    <row r="169" spans="1:33" ht="12.75" customHeight="1" x14ac:dyDescent="0.25">
      <c r="A169" s="339"/>
      <c r="B169" s="343"/>
      <c r="C169" s="38" t="s">
        <v>211</v>
      </c>
      <c r="D169" s="39" t="s">
        <v>249</v>
      </c>
      <c r="E169" s="51" t="s">
        <v>337</v>
      </c>
      <c r="F169" s="40" t="s">
        <v>730</v>
      </c>
      <c r="G169" s="110" t="s">
        <v>728</v>
      </c>
      <c r="H169" s="41"/>
      <c r="I169" s="41"/>
      <c r="J169" s="67">
        <f t="shared" si="58"/>
        <v>0</v>
      </c>
      <c r="K169" s="41"/>
      <c r="L169" s="67">
        <f t="shared" si="63"/>
        <v>0</v>
      </c>
      <c r="M169" s="41"/>
      <c r="N169" s="67">
        <f t="shared" si="64"/>
        <v>0</v>
      </c>
      <c r="O169" s="41">
        <v>140.19200000000001</v>
      </c>
      <c r="P169" s="67">
        <f t="shared" si="65"/>
        <v>140.19200000000001</v>
      </c>
      <c r="Q169" s="41">
        <v>142.267</v>
      </c>
      <c r="R169" s="67">
        <f t="shared" si="66"/>
        <v>2.0749999999999886</v>
      </c>
      <c r="S169" s="41"/>
      <c r="T169" s="67">
        <f t="shared" si="67"/>
        <v>0</v>
      </c>
      <c r="U169" s="41"/>
      <c r="V169" s="67">
        <f t="shared" si="68"/>
        <v>0</v>
      </c>
      <c r="W169" s="41"/>
      <c r="X169" s="67">
        <f t="shared" si="69"/>
        <v>0</v>
      </c>
      <c r="Y169" s="41"/>
      <c r="Z169" s="67">
        <f t="shared" si="70"/>
        <v>0</v>
      </c>
      <c r="AA169" s="41"/>
      <c r="AB169" s="67">
        <f t="shared" si="71"/>
        <v>0</v>
      </c>
      <c r="AC169" s="41"/>
      <c r="AD169" s="67">
        <f t="shared" si="72"/>
        <v>0</v>
      </c>
      <c r="AE169" s="41"/>
      <c r="AF169" s="108">
        <f t="shared" si="73"/>
        <v>0</v>
      </c>
      <c r="AG169" s="127">
        <f t="shared" si="74"/>
        <v>142.267</v>
      </c>
    </row>
    <row r="170" spans="1:33" s="47" customFormat="1" ht="12.75" customHeight="1" x14ac:dyDescent="0.25">
      <c r="A170" s="330" t="s">
        <v>281</v>
      </c>
      <c r="B170" s="343"/>
      <c r="C170" s="134" t="s">
        <v>212</v>
      </c>
      <c r="D170" s="134" t="s">
        <v>248</v>
      </c>
      <c r="E170" s="176" t="s">
        <v>380</v>
      </c>
      <c r="F170" s="40" t="s">
        <v>726</v>
      </c>
      <c r="G170" s="110" t="s">
        <v>684</v>
      </c>
      <c r="H170" s="41">
        <v>872320</v>
      </c>
      <c r="I170" s="41">
        <v>874249</v>
      </c>
      <c r="J170" s="67">
        <f t="shared" si="58"/>
        <v>1929</v>
      </c>
      <c r="K170" s="41">
        <v>876022</v>
      </c>
      <c r="L170" s="67">
        <f t="shared" si="63"/>
        <v>1773</v>
      </c>
      <c r="M170" s="41">
        <v>878240</v>
      </c>
      <c r="N170" s="67">
        <f t="shared" si="64"/>
        <v>2218</v>
      </c>
      <c r="O170" s="41">
        <v>879992</v>
      </c>
      <c r="P170" s="67">
        <f t="shared" si="65"/>
        <v>1752</v>
      </c>
      <c r="Q170" s="41"/>
      <c r="R170" s="67">
        <f t="shared" si="66"/>
        <v>0</v>
      </c>
      <c r="S170" s="41"/>
      <c r="T170" s="67">
        <f t="shared" si="67"/>
        <v>0</v>
      </c>
      <c r="U170" s="41"/>
      <c r="V170" s="67">
        <f t="shared" si="68"/>
        <v>0</v>
      </c>
      <c r="W170" s="41"/>
      <c r="X170" s="67">
        <f t="shared" si="69"/>
        <v>0</v>
      </c>
      <c r="Y170" s="41"/>
      <c r="Z170" s="67">
        <f t="shared" si="70"/>
        <v>0</v>
      </c>
      <c r="AA170" s="41"/>
      <c r="AB170" s="67">
        <f t="shared" si="71"/>
        <v>0</v>
      </c>
      <c r="AC170" s="41"/>
      <c r="AD170" s="67">
        <f t="shared" si="72"/>
        <v>0</v>
      </c>
      <c r="AE170" s="41"/>
      <c r="AF170" s="108">
        <f t="shared" si="73"/>
        <v>0</v>
      </c>
      <c r="AG170" s="127">
        <f t="shared" si="74"/>
        <v>7672</v>
      </c>
    </row>
    <row r="171" spans="1:33" s="47" customFormat="1" ht="12.75" customHeight="1" x14ac:dyDescent="0.25">
      <c r="A171" s="331"/>
      <c r="B171" s="343"/>
      <c r="C171" s="134" t="s">
        <v>212</v>
      </c>
      <c r="D171" s="134" t="s">
        <v>248</v>
      </c>
      <c r="E171" s="176" t="s">
        <v>304</v>
      </c>
      <c r="F171" s="40" t="s">
        <v>441</v>
      </c>
      <c r="G171" s="110" t="s">
        <v>442</v>
      </c>
      <c r="H171" s="41">
        <v>12055</v>
      </c>
      <c r="I171" s="41">
        <v>13325</v>
      </c>
      <c r="J171" s="67">
        <f t="shared" si="58"/>
        <v>1270</v>
      </c>
      <c r="K171" s="41">
        <v>14933</v>
      </c>
      <c r="L171" s="67">
        <f t="shared" si="63"/>
        <v>1608</v>
      </c>
      <c r="M171" s="41">
        <v>16052</v>
      </c>
      <c r="N171" s="67">
        <f t="shared" si="64"/>
        <v>1119</v>
      </c>
      <c r="O171" s="41">
        <v>16073</v>
      </c>
      <c r="P171" s="67">
        <f t="shared" si="65"/>
        <v>21</v>
      </c>
      <c r="Q171" s="41"/>
      <c r="R171" s="67">
        <f t="shared" si="66"/>
        <v>0</v>
      </c>
      <c r="S171" s="41"/>
      <c r="T171" s="67">
        <f t="shared" si="67"/>
        <v>0</v>
      </c>
      <c r="U171" s="41"/>
      <c r="V171" s="67">
        <f t="shared" si="68"/>
        <v>0</v>
      </c>
      <c r="W171" s="41"/>
      <c r="X171" s="67">
        <f t="shared" si="69"/>
        <v>0</v>
      </c>
      <c r="Y171" s="41"/>
      <c r="Z171" s="67">
        <f t="shared" si="70"/>
        <v>0</v>
      </c>
      <c r="AA171" s="41"/>
      <c r="AB171" s="67">
        <f t="shared" si="71"/>
        <v>0</v>
      </c>
      <c r="AC171" s="41"/>
      <c r="AD171" s="67">
        <f t="shared" si="72"/>
        <v>0</v>
      </c>
      <c r="AE171" s="41"/>
      <c r="AF171" s="108">
        <f t="shared" si="73"/>
        <v>0</v>
      </c>
      <c r="AG171" s="127">
        <f t="shared" si="74"/>
        <v>4018</v>
      </c>
    </row>
    <row r="172" spans="1:33" s="47" customFormat="1" ht="12.75" customHeight="1" x14ac:dyDescent="0.25">
      <c r="A172" s="331"/>
      <c r="B172" s="343"/>
      <c r="C172" s="134" t="s">
        <v>212</v>
      </c>
      <c r="D172" s="134" t="s">
        <v>248</v>
      </c>
      <c r="E172" s="176" t="s">
        <v>337</v>
      </c>
      <c r="F172" s="40" t="s">
        <v>661</v>
      </c>
      <c r="G172" s="110" t="s">
        <v>689</v>
      </c>
      <c r="H172" s="41">
        <v>964</v>
      </c>
      <c r="I172" s="41">
        <v>989</v>
      </c>
      <c r="J172" s="67">
        <f t="shared" ref="J172" si="151">IF(I172&gt;0,I172-H172,)</f>
        <v>25</v>
      </c>
      <c r="K172" s="41">
        <v>1008</v>
      </c>
      <c r="L172" s="67">
        <f t="shared" ref="L172" si="152">IF(K172&gt;0,K172-I172,)</f>
        <v>19</v>
      </c>
      <c r="M172" s="41">
        <v>1036</v>
      </c>
      <c r="N172" s="67">
        <f t="shared" ref="N172" si="153">IF(M172&gt;0,M172-K172,)</f>
        <v>28</v>
      </c>
      <c r="O172" s="41">
        <v>1060</v>
      </c>
      <c r="P172" s="67">
        <f t="shared" ref="P172" si="154">IF(O172&gt;0,O172-M172,)</f>
        <v>24</v>
      </c>
      <c r="Q172" s="41"/>
      <c r="R172" s="67">
        <f t="shared" ref="R172" si="155">IF(Q172&gt;0,Q172-O172,)</f>
        <v>0</v>
      </c>
      <c r="S172" s="41"/>
      <c r="T172" s="67">
        <f t="shared" ref="T172" si="156">IF(S172&gt;0,S172-Q172,)</f>
        <v>0</v>
      </c>
      <c r="U172" s="41"/>
      <c r="V172" s="67">
        <f t="shared" ref="V172" si="157">IF(U172&gt;0,U172-S172,)</f>
        <v>0</v>
      </c>
      <c r="W172" s="41"/>
      <c r="X172" s="67">
        <f t="shared" ref="X172" si="158">IF(W172&gt;0,W172-U172,)</f>
        <v>0</v>
      </c>
      <c r="Y172" s="41"/>
      <c r="Z172" s="67">
        <f t="shared" ref="Z172" si="159">IF(Y172&gt;0,Y172-W172,)</f>
        <v>0</v>
      </c>
      <c r="AA172" s="41"/>
      <c r="AB172" s="67">
        <f t="shared" ref="AB172" si="160">IF(AA172&gt;0,AA172-Y172,)</f>
        <v>0</v>
      </c>
      <c r="AC172" s="41"/>
      <c r="AD172" s="67">
        <f t="shared" ref="AD172" si="161">IF(AC172&gt;0,AC172-AA172,)</f>
        <v>0</v>
      </c>
      <c r="AE172" s="41"/>
      <c r="AF172" s="108">
        <f t="shared" ref="AF172" si="162">IF(AE172&gt;0,AE172-AC172,)</f>
        <v>0</v>
      </c>
      <c r="AG172" s="127">
        <f t="shared" ref="AG172" si="163">J172+L172+N172+P172+R172+T172+V172+X172+Z172+AB172+AD172+AF172</f>
        <v>96</v>
      </c>
    </row>
    <row r="173" spans="1:33" s="47" customFormat="1" ht="12.75" customHeight="1" x14ac:dyDescent="0.25">
      <c r="A173" s="331"/>
      <c r="B173" s="343"/>
      <c r="C173" s="134" t="s">
        <v>212</v>
      </c>
      <c r="D173" s="134" t="s">
        <v>248</v>
      </c>
      <c r="E173" s="176" t="s">
        <v>337</v>
      </c>
      <c r="F173" s="40" t="s">
        <v>720</v>
      </c>
      <c r="G173" s="110"/>
      <c r="H173" s="41">
        <v>168</v>
      </c>
      <c r="I173" s="41">
        <v>170</v>
      </c>
      <c r="J173" s="67">
        <f t="shared" ref="J173" si="164">IF(I173&gt;0,I173-H173,)</f>
        <v>2</v>
      </c>
      <c r="K173" s="41">
        <v>172</v>
      </c>
      <c r="L173" s="67">
        <f t="shared" ref="L173" si="165">IF(K173&gt;0,K173-I173,)</f>
        <v>2</v>
      </c>
      <c r="M173" s="41">
        <v>175</v>
      </c>
      <c r="N173" s="67">
        <f t="shared" ref="N173" si="166">IF(M173&gt;0,M173-K173,)</f>
        <v>3</v>
      </c>
      <c r="O173" s="41">
        <v>179</v>
      </c>
      <c r="P173" s="67">
        <f t="shared" ref="P173" si="167">IF(O173&gt;0,O173-M173,)</f>
        <v>4</v>
      </c>
      <c r="Q173" s="41"/>
      <c r="R173" s="67">
        <f t="shared" ref="R173" si="168">IF(Q173&gt;0,Q173-O173,)</f>
        <v>0</v>
      </c>
      <c r="S173" s="41"/>
      <c r="T173" s="67">
        <f t="shared" ref="T173" si="169">IF(S173&gt;0,S173-Q173,)</f>
        <v>0</v>
      </c>
      <c r="U173" s="41"/>
      <c r="V173" s="67">
        <f t="shared" ref="V173" si="170">IF(U173&gt;0,U173-S173,)</f>
        <v>0</v>
      </c>
      <c r="W173" s="41"/>
      <c r="X173" s="67">
        <f t="shared" ref="X173" si="171">IF(W173&gt;0,W173-U173,)</f>
        <v>0</v>
      </c>
      <c r="Y173" s="41"/>
      <c r="Z173" s="67">
        <f t="shared" ref="Z173" si="172">IF(Y173&gt;0,Y173-W173,)</f>
        <v>0</v>
      </c>
      <c r="AA173" s="41"/>
      <c r="AB173" s="67">
        <f t="shared" ref="AB173" si="173">IF(AA173&gt;0,AA173-Y173,)</f>
        <v>0</v>
      </c>
      <c r="AC173" s="41"/>
      <c r="AD173" s="67">
        <f t="shared" ref="AD173" si="174">IF(AC173&gt;0,AC173-AA173,)</f>
        <v>0</v>
      </c>
      <c r="AE173" s="41"/>
      <c r="AF173" s="108">
        <f t="shared" ref="AF173" si="175">IF(AE173&gt;0,AE173-AC173,)</f>
        <v>0</v>
      </c>
      <c r="AG173" s="127">
        <f t="shared" ref="AG173" si="176">J173+L173+N173+P173+R173+T173+V173+X173+Z173+AB173+AD173+AF173</f>
        <v>11</v>
      </c>
    </row>
    <row r="174" spans="1:33" ht="12.75" customHeight="1" x14ac:dyDescent="0.25">
      <c r="A174" s="330" t="s">
        <v>282</v>
      </c>
      <c r="B174" s="343"/>
      <c r="C174" s="89" t="s">
        <v>102</v>
      </c>
      <c r="D174" s="89" t="s">
        <v>62</v>
      </c>
      <c r="E174" s="90" t="s">
        <v>541</v>
      </c>
      <c r="F174" s="91" t="s">
        <v>680</v>
      </c>
      <c r="G174" s="111" t="s">
        <v>682</v>
      </c>
      <c r="H174" s="87">
        <v>7677483</v>
      </c>
      <c r="I174" s="87">
        <v>7775390</v>
      </c>
      <c r="J174" s="121">
        <f t="shared" si="58"/>
        <v>97907</v>
      </c>
      <c r="K174" s="87">
        <v>7885741</v>
      </c>
      <c r="L174" s="121">
        <f t="shared" si="63"/>
        <v>110351</v>
      </c>
      <c r="M174" s="87">
        <v>7959416</v>
      </c>
      <c r="N174" s="121">
        <f t="shared" si="64"/>
        <v>73675</v>
      </c>
      <c r="O174" s="87">
        <v>8011465</v>
      </c>
      <c r="P174" s="121">
        <f t="shared" si="65"/>
        <v>52049</v>
      </c>
      <c r="Q174" s="87"/>
      <c r="R174" s="121">
        <f t="shared" si="66"/>
        <v>0</v>
      </c>
      <c r="S174" s="87"/>
      <c r="T174" s="121">
        <f t="shared" si="67"/>
        <v>0</v>
      </c>
      <c r="U174" s="87"/>
      <c r="V174" s="121">
        <f t="shared" si="68"/>
        <v>0</v>
      </c>
      <c r="W174" s="87"/>
      <c r="X174" s="121">
        <f t="shared" si="69"/>
        <v>0</v>
      </c>
      <c r="Y174" s="87"/>
      <c r="Z174" s="121">
        <f t="shared" si="70"/>
        <v>0</v>
      </c>
      <c r="AA174" s="87"/>
      <c r="AB174" s="121">
        <f t="shared" si="71"/>
        <v>0</v>
      </c>
      <c r="AC174" s="87"/>
      <c r="AD174" s="121">
        <f t="shared" si="72"/>
        <v>0</v>
      </c>
      <c r="AE174" s="87"/>
      <c r="AF174" s="125">
        <f t="shared" si="73"/>
        <v>0</v>
      </c>
      <c r="AG174" s="127">
        <f t="shared" si="74"/>
        <v>333982</v>
      </c>
    </row>
    <row r="175" spans="1:33" s="47" customFormat="1" ht="12.75" customHeight="1" x14ac:dyDescent="0.25">
      <c r="A175" s="331"/>
      <c r="B175" s="343"/>
      <c r="C175" s="134" t="s">
        <v>102</v>
      </c>
      <c r="D175" s="134" t="s">
        <v>62</v>
      </c>
      <c r="E175" s="176" t="s">
        <v>380</v>
      </c>
      <c r="F175" s="40" t="s">
        <v>651</v>
      </c>
      <c r="G175" s="110" t="s">
        <v>686</v>
      </c>
      <c r="H175" s="41">
        <v>9231657</v>
      </c>
      <c r="I175" s="41">
        <v>9270644</v>
      </c>
      <c r="J175" s="67">
        <f t="shared" si="58"/>
        <v>38987</v>
      </c>
      <c r="K175" s="41">
        <v>9303706</v>
      </c>
      <c r="L175" s="67">
        <f t="shared" si="63"/>
        <v>33062</v>
      </c>
      <c r="M175" s="41">
        <v>9312719</v>
      </c>
      <c r="N175" s="67">
        <f t="shared" si="64"/>
        <v>9013</v>
      </c>
      <c r="O175" s="41">
        <v>9312719</v>
      </c>
      <c r="P175" s="67">
        <f t="shared" si="65"/>
        <v>0</v>
      </c>
      <c r="Q175" s="41"/>
      <c r="R175" s="67">
        <f t="shared" si="66"/>
        <v>0</v>
      </c>
      <c r="S175" s="41"/>
      <c r="T175" s="67">
        <f t="shared" si="67"/>
        <v>0</v>
      </c>
      <c r="U175" s="41"/>
      <c r="V175" s="67">
        <f t="shared" si="68"/>
        <v>0</v>
      </c>
      <c r="W175" s="41"/>
      <c r="X175" s="67">
        <f t="shared" si="69"/>
        <v>0</v>
      </c>
      <c r="Y175" s="41"/>
      <c r="Z175" s="67">
        <f t="shared" si="70"/>
        <v>0</v>
      </c>
      <c r="AA175" s="41"/>
      <c r="AB175" s="67">
        <f t="shared" si="71"/>
        <v>0</v>
      </c>
      <c r="AC175" s="41"/>
      <c r="AD175" s="67">
        <f t="shared" si="72"/>
        <v>0</v>
      </c>
      <c r="AE175" s="41"/>
      <c r="AF175" s="108">
        <f t="shared" si="73"/>
        <v>0</v>
      </c>
      <c r="AG175" s="127">
        <f t="shared" si="74"/>
        <v>81062</v>
      </c>
    </row>
    <row r="176" spans="1:33" s="47" customFormat="1" ht="12.75" customHeight="1" x14ac:dyDescent="0.25">
      <c r="A176" s="331"/>
      <c r="B176" s="343"/>
      <c r="C176" s="134" t="s">
        <v>102</v>
      </c>
      <c r="D176" s="134" t="s">
        <v>62</v>
      </c>
      <c r="E176" s="176" t="s">
        <v>380</v>
      </c>
      <c r="F176" s="40" t="s">
        <v>650</v>
      </c>
      <c r="G176" s="110" t="s">
        <v>678</v>
      </c>
      <c r="H176" s="41">
        <v>4333</v>
      </c>
      <c r="I176" s="41">
        <v>4974.82</v>
      </c>
      <c r="J176" s="67">
        <f t="shared" si="58"/>
        <v>641.81999999999971</v>
      </c>
      <c r="K176" s="41">
        <v>5596</v>
      </c>
      <c r="L176" s="67">
        <f t="shared" si="63"/>
        <v>621.18000000000029</v>
      </c>
      <c r="M176" s="41">
        <v>6088</v>
      </c>
      <c r="N176" s="67">
        <f t="shared" si="64"/>
        <v>492</v>
      </c>
      <c r="O176" s="41">
        <v>6563</v>
      </c>
      <c r="P176" s="67">
        <f t="shared" si="65"/>
        <v>475</v>
      </c>
      <c r="Q176" s="41"/>
      <c r="R176" s="67">
        <f t="shared" si="66"/>
        <v>0</v>
      </c>
      <c r="S176" s="41"/>
      <c r="T176" s="67">
        <f t="shared" si="67"/>
        <v>0</v>
      </c>
      <c r="U176" s="41"/>
      <c r="V176" s="67">
        <f t="shared" si="68"/>
        <v>0</v>
      </c>
      <c r="W176" s="41"/>
      <c r="X176" s="67">
        <f t="shared" si="69"/>
        <v>0</v>
      </c>
      <c r="Y176" s="41"/>
      <c r="Z176" s="67">
        <f t="shared" si="70"/>
        <v>0</v>
      </c>
      <c r="AA176" s="41"/>
      <c r="AB176" s="67">
        <f t="shared" si="71"/>
        <v>0</v>
      </c>
      <c r="AC176" s="41"/>
      <c r="AD176" s="67">
        <f t="shared" si="72"/>
        <v>0</v>
      </c>
      <c r="AE176" s="41"/>
      <c r="AF176" s="108">
        <f t="shared" si="73"/>
        <v>0</v>
      </c>
      <c r="AG176" s="127">
        <f t="shared" si="74"/>
        <v>2230</v>
      </c>
    </row>
    <row r="177" spans="1:33" s="47" customFormat="1" ht="12.75" customHeight="1" x14ac:dyDescent="0.25">
      <c r="A177" s="331"/>
      <c r="B177" s="343"/>
      <c r="C177" s="134" t="s">
        <v>102</v>
      </c>
      <c r="D177" s="134" t="s">
        <v>62</v>
      </c>
      <c r="E177" s="176" t="s">
        <v>380</v>
      </c>
      <c r="F177" s="40" t="s">
        <v>652</v>
      </c>
      <c r="G177" s="110" t="s">
        <v>683</v>
      </c>
      <c r="H177" s="41">
        <v>989364</v>
      </c>
      <c r="I177" s="41">
        <v>1525</v>
      </c>
      <c r="J177" s="67">
        <f>IF(I177&gt;0,1000000-H177+I177,)</f>
        <v>12161</v>
      </c>
      <c r="K177" s="41">
        <v>13326</v>
      </c>
      <c r="L177" s="67">
        <f t="shared" si="63"/>
        <v>11801</v>
      </c>
      <c r="M177" s="41">
        <v>21502</v>
      </c>
      <c r="N177" s="67">
        <f t="shared" si="64"/>
        <v>8176</v>
      </c>
      <c r="O177" s="41">
        <v>23300</v>
      </c>
      <c r="P177" s="67">
        <f t="shared" si="65"/>
        <v>1798</v>
      </c>
      <c r="Q177" s="41"/>
      <c r="R177" s="67">
        <f t="shared" si="66"/>
        <v>0</v>
      </c>
      <c r="S177" s="41"/>
      <c r="T177" s="67">
        <f t="shared" si="67"/>
        <v>0</v>
      </c>
      <c r="U177" s="41"/>
      <c r="V177" s="67">
        <f t="shared" si="68"/>
        <v>0</v>
      </c>
      <c r="W177" s="41"/>
      <c r="X177" s="67">
        <f t="shared" si="69"/>
        <v>0</v>
      </c>
      <c r="Y177" s="41"/>
      <c r="Z177" s="67">
        <f t="shared" si="70"/>
        <v>0</v>
      </c>
      <c r="AA177" s="41"/>
      <c r="AB177" s="67">
        <f t="shared" si="71"/>
        <v>0</v>
      </c>
      <c r="AC177" s="41"/>
      <c r="AD177" s="67">
        <f t="shared" si="72"/>
        <v>0</v>
      </c>
      <c r="AE177" s="41"/>
      <c r="AF177" s="108">
        <f t="shared" si="73"/>
        <v>0</v>
      </c>
      <c r="AG177" s="127">
        <f t="shared" si="74"/>
        <v>33936</v>
      </c>
    </row>
    <row r="178" spans="1:33" s="47" customFormat="1" ht="12.75" customHeight="1" x14ac:dyDescent="0.25">
      <c r="A178" s="331"/>
      <c r="B178" s="343"/>
      <c r="C178" s="134" t="s">
        <v>102</v>
      </c>
      <c r="D178" s="134" t="s">
        <v>62</v>
      </c>
      <c r="E178" s="176" t="s">
        <v>337</v>
      </c>
      <c r="F178" s="40" t="s">
        <v>471</v>
      </c>
      <c r="G178" s="110" t="s">
        <v>472</v>
      </c>
      <c r="H178" s="41">
        <v>11743</v>
      </c>
      <c r="I178" s="41">
        <v>12369</v>
      </c>
      <c r="J178" s="67">
        <f t="shared" si="58"/>
        <v>626</v>
      </c>
      <c r="K178" s="41">
        <v>12991</v>
      </c>
      <c r="L178" s="67">
        <f t="shared" si="63"/>
        <v>622</v>
      </c>
      <c r="M178" s="41">
        <v>13315</v>
      </c>
      <c r="N178" s="67">
        <f t="shared" si="64"/>
        <v>324</v>
      </c>
      <c r="O178" s="41">
        <v>13606</v>
      </c>
      <c r="P178" s="67">
        <f t="shared" si="65"/>
        <v>291</v>
      </c>
      <c r="Q178" s="41"/>
      <c r="R178" s="67">
        <f t="shared" si="66"/>
        <v>0</v>
      </c>
      <c r="S178" s="41"/>
      <c r="T178" s="67">
        <f t="shared" si="67"/>
        <v>0</v>
      </c>
      <c r="U178" s="41"/>
      <c r="V178" s="67">
        <f t="shared" si="68"/>
        <v>0</v>
      </c>
      <c r="W178" s="41"/>
      <c r="X178" s="67">
        <f t="shared" si="69"/>
        <v>0</v>
      </c>
      <c r="Y178" s="41"/>
      <c r="Z178" s="67">
        <f t="shared" si="70"/>
        <v>0</v>
      </c>
      <c r="AA178" s="41"/>
      <c r="AB178" s="67">
        <f t="shared" si="71"/>
        <v>0</v>
      </c>
      <c r="AC178" s="41"/>
      <c r="AD178" s="67">
        <f t="shared" si="72"/>
        <v>0</v>
      </c>
      <c r="AE178" s="41"/>
      <c r="AF178" s="108">
        <f t="shared" si="73"/>
        <v>0</v>
      </c>
      <c r="AG178" s="127">
        <f t="shared" si="74"/>
        <v>1863</v>
      </c>
    </row>
    <row r="179" spans="1:33" s="47" customFormat="1" ht="12.75" customHeight="1" x14ac:dyDescent="0.25">
      <c r="A179" s="333"/>
      <c r="B179" s="343"/>
      <c r="C179" s="134" t="s">
        <v>102</v>
      </c>
      <c r="D179" s="134" t="s">
        <v>62</v>
      </c>
      <c r="E179" s="176" t="s">
        <v>337</v>
      </c>
      <c r="F179" s="40" t="s">
        <v>662</v>
      </c>
      <c r="G179" s="110" t="s">
        <v>691</v>
      </c>
      <c r="H179" s="41">
        <v>3058</v>
      </c>
      <c r="I179" s="41">
        <v>3363</v>
      </c>
      <c r="J179" s="67">
        <f t="shared" si="58"/>
        <v>305</v>
      </c>
      <c r="K179" s="41">
        <v>3659</v>
      </c>
      <c r="L179" s="67">
        <f t="shared" si="63"/>
        <v>296</v>
      </c>
      <c r="M179" s="41">
        <v>3714</v>
      </c>
      <c r="N179" s="67">
        <f t="shared" si="64"/>
        <v>55</v>
      </c>
      <c r="O179" s="41">
        <v>3714</v>
      </c>
      <c r="P179" s="67">
        <f t="shared" si="65"/>
        <v>0</v>
      </c>
      <c r="Q179" s="41"/>
      <c r="R179" s="67">
        <f t="shared" si="66"/>
        <v>0</v>
      </c>
      <c r="S179" s="41"/>
      <c r="T179" s="67">
        <f t="shared" si="67"/>
        <v>0</v>
      </c>
      <c r="U179" s="41"/>
      <c r="V179" s="67">
        <f t="shared" si="68"/>
        <v>0</v>
      </c>
      <c r="W179" s="41"/>
      <c r="X179" s="67">
        <f t="shared" si="69"/>
        <v>0</v>
      </c>
      <c r="Y179" s="41"/>
      <c r="Z179" s="67">
        <f t="shared" si="70"/>
        <v>0</v>
      </c>
      <c r="AA179" s="41"/>
      <c r="AB179" s="67">
        <f t="shared" si="71"/>
        <v>0</v>
      </c>
      <c r="AC179" s="41"/>
      <c r="AD179" s="67">
        <f t="shared" si="72"/>
        <v>0</v>
      </c>
      <c r="AE179" s="41"/>
      <c r="AF179" s="108">
        <f t="shared" si="73"/>
        <v>0</v>
      </c>
      <c r="AG179" s="127">
        <f t="shared" si="74"/>
        <v>656</v>
      </c>
    </row>
    <row r="180" spans="1:33" ht="12.75" customHeight="1" x14ac:dyDescent="0.25">
      <c r="A180" s="330" t="s">
        <v>283</v>
      </c>
      <c r="B180" s="343"/>
      <c r="C180" s="39" t="s">
        <v>153</v>
      </c>
      <c r="D180" s="39" t="s">
        <v>62</v>
      </c>
      <c r="E180" s="128" t="s">
        <v>380</v>
      </c>
      <c r="F180" s="40" t="s">
        <v>653</v>
      </c>
      <c r="G180" s="110" t="s">
        <v>679</v>
      </c>
      <c r="H180" s="41">
        <v>257566</v>
      </c>
      <c r="I180" s="41">
        <v>277427.43</v>
      </c>
      <c r="J180" s="67">
        <f t="shared" si="58"/>
        <v>19861.429999999993</v>
      </c>
      <c r="K180" s="41">
        <v>297495</v>
      </c>
      <c r="L180" s="67">
        <f t="shared" si="63"/>
        <v>20067.570000000007</v>
      </c>
      <c r="M180" s="41">
        <v>313153</v>
      </c>
      <c r="N180" s="67">
        <f t="shared" si="64"/>
        <v>15658</v>
      </c>
      <c r="O180" s="41">
        <v>326709</v>
      </c>
      <c r="P180" s="67">
        <f t="shared" si="65"/>
        <v>13556</v>
      </c>
      <c r="Q180" s="41"/>
      <c r="R180" s="67">
        <f t="shared" si="66"/>
        <v>0</v>
      </c>
      <c r="S180" s="41"/>
      <c r="T180" s="67">
        <f t="shared" si="67"/>
        <v>0</v>
      </c>
      <c r="U180" s="41"/>
      <c r="V180" s="67">
        <f t="shared" si="68"/>
        <v>0</v>
      </c>
      <c r="W180" s="41"/>
      <c r="X180" s="67">
        <f t="shared" si="69"/>
        <v>0</v>
      </c>
      <c r="Y180" s="41"/>
      <c r="Z180" s="67">
        <f t="shared" si="70"/>
        <v>0</v>
      </c>
      <c r="AA180" s="41"/>
      <c r="AB180" s="67">
        <f t="shared" si="71"/>
        <v>0</v>
      </c>
      <c r="AC180" s="41"/>
      <c r="AD180" s="67">
        <f t="shared" si="72"/>
        <v>0</v>
      </c>
      <c r="AE180" s="41"/>
      <c r="AF180" s="108">
        <f t="shared" si="73"/>
        <v>0</v>
      </c>
      <c r="AG180" s="127">
        <f t="shared" si="74"/>
        <v>69143</v>
      </c>
    </row>
    <row r="181" spans="1:33" ht="12.75" customHeight="1" x14ac:dyDescent="0.25">
      <c r="A181" s="331"/>
      <c r="B181" s="343"/>
      <c r="C181" s="39" t="s">
        <v>153</v>
      </c>
      <c r="D181" s="39" t="s">
        <v>62</v>
      </c>
      <c r="E181" s="128" t="s">
        <v>342</v>
      </c>
      <c r="F181" s="40" t="s">
        <v>371</v>
      </c>
      <c r="G181" s="110" t="s">
        <v>371</v>
      </c>
      <c r="H181" s="104"/>
      <c r="I181" s="104"/>
      <c r="J181" s="67">
        <v>407.82</v>
      </c>
      <c r="K181" s="104"/>
      <c r="L181" s="67">
        <v>348.65</v>
      </c>
      <c r="M181" s="104"/>
      <c r="N181" s="67">
        <v>283.13</v>
      </c>
      <c r="O181" s="104"/>
      <c r="P181" s="67">
        <v>188.25</v>
      </c>
      <c r="Q181" s="104"/>
      <c r="R181" s="67">
        <v>130.91999999999999</v>
      </c>
      <c r="S181" s="104"/>
      <c r="T181" s="67"/>
      <c r="U181" s="104"/>
      <c r="V181" s="67"/>
      <c r="W181" s="104"/>
      <c r="X181" s="67"/>
      <c r="Y181" s="104"/>
      <c r="Z181" s="67"/>
      <c r="AA181" s="104"/>
      <c r="AB181" s="67"/>
      <c r="AC181" s="104"/>
      <c r="AD181" s="67"/>
      <c r="AE181" s="104"/>
      <c r="AF181" s="108"/>
      <c r="AG181" s="127">
        <f t="shared" si="74"/>
        <v>1358.77</v>
      </c>
    </row>
    <row r="182" spans="1:33" ht="12.75" customHeight="1" x14ac:dyDescent="0.25">
      <c r="A182" s="331"/>
      <c r="B182" s="343"/>
      <c r="C182" s="39" t="s">
        <v>153</v>
      </c>
      <c r="D182" s="39" t="s">
        <v>62</v>
      </c>
      <c r="E182" s="128" t="s">
        <v>337</v>
      </c>
      <c r="F182" s="40" t="s">
        <v>660</v>
      </c>
      <c r="G182" s="110" t="s">
        <v>690</v>
      </c>
      <c r="H182" s="41">
        <v>6555</v>
      </c>
      <c r="I182" s="41">
        <v>7147</v>
      </c>
      <c r="J182" s="67">
        <f t="shared" ref="J182" si="177">IF(I182&gt;0,I182-H182,)</f>
        <v>592</v>
      </c>
      <c r="K182" s="41">
        <v>7747</v>
      </c>
      <c r="L182" s="67">
        <f t="shared" ref="L182" si="178">IF(K182&gt;0,K182-I182,)</f>
        <v>600</v>
      </c>
      <c r="M182" s="41">
        <v>8037</v>
      </c>
      <c r="N182" s="67">
        <f t="shared" ref="N182" si="179">IF(M182&gt;0,M182-K182,)</f>
        <v>290</v>
      </c>
      <c r="O182" s="41">
        <v>8293</v>
      </c>
      <c r="P182" s="67">
        <f t="shared" ref="P182" si="180">IF(O182&gt;0,O182-M182,)</f>
        <v>256</v>
      </c>
      <c r="Q182" s="41"/>
      <c r="R182" s="67">
        <f t="shared" ref="R182" si="181">IF(Q182&gt;0,Q182-O182,)</f>
        <v>0</v>
      </c>
      <c r="S182" s="41"/>
      <c r="T182" s="67">
        <f t="shared" ref="T182" si="182">IF(S182&gt;0,S182-Q182,)</f>
        <v>0</v>
      </c>
      <c r="U182" s="41"/>
      <c r="V182" s="67">
        <f t="shared" ref="V182" si="183">IF(U182&gt;0,U182-S182,)</f>
        <v>0</v>
      </c>
      <c r="W182" s="41"/>
      <c r="X182" s="67">
        <f t="shared" ref="X182" si="184">IF(W182&gt;0,W182-U182,)</f>
        <v>0</v>
      </c>
      <c r="Y182" s="41"/>
      <c r="Z182" s="67">
        <f t="shared" ref="Z182" si="185">IF(Y182&gt;0,Y182-W182,)</f>
        <v>0</v>
      </c>
      <c r="AA182" s="41"/>
      <c r="AB182" s="67">
        <f t="shared" ref="AB182" si="186">IF(AA182&gt;0,AA182-Y182,)</f>
        <v>0</v>
      </c>
      <c r="AC182" s="41"/>
      <c r="AD182" s="67">
        <f t="shared" ref="AD182" si="187">IF(AC182&gt;0,AC182-AA182,)</f>
        <v>0</v>
      </c>
      <c r="AE182" s="41"/>
      <c r="AF182" s="108">
        <f t="shared" ref="AF182" si="188">IF(AE182&gt;0,AE182-AC182,)</f>
        <v>0</v>
      </c>
      <c r="AG182" s="127">
        <f t="shared" si="74"/>
        <v>1738</v>
      </c>
    </row>
    <row r="183" spans="1:33" s="47" customFormat="1" ht="12.75" customHeight="1" x14ac:dyDescent="0.25">
      <c r="A183" s="330" t="s">
        <v>284</v>
      </c>
      <c r="B183" s="343"/>
      <c r="C183" s="134" t="s">
        <v>87</v>
      </c>
      <c r="D183" s="134" t="s">
        <v>246</v>
      </c>
      <c r="E183" s="176" t="s">
        <v>380</v>
      </c>
      <c r="F183" s="40" t="s">
        <v>654</v>
      </c>
      <c r="G183" s="110" t="s">
        <v>688</v>
      </c>
      <c r="H183" s="41">
        <v>83451</v>
      </c>
      <c r="I183" s="41">
        <v>83981</v>
      </c>
      <c r="J183" s="67">
        <f t="shared" si="58"/>
        <v>530</v>
      </c>
      <c r="K183" s="41">
        <v>84640</v>
      </c>
      <c r="L183" s="67">
        <f t="shared" si="63"/>
        <v>659</v>
      </c>
      <c r="M183" s="41">
        <v>85467</v>
      </c>
      <c r="N183" s="67">
        <f t="shared" si="64"/>
        <v>827</v>
      </c>
      <c r="O183" s="41">
        <v>86455</v>
      </c>
      <c r="P183" s="67">
        <f t="shared" si="65"/>
        <v>988</v>
      </c>
      <c r="Q183" s="41"/>
      <c r="R183" s="67">
        <f t="shared" si="66"/>
        <v>0</v>
      </c>
      <c r="S183" s="41"/>
      <c r="T183" s="67">
        <f t="shared" si="67"/>
        <v>0</v>
      </c>
      <c r="U183" s="41"/>
      <c r="V183" s="67">
        <f t="shared" si="68"/>
        <v>0</v>
      </c>
      <c r="W183" s="41"/>
      <c r="X183" s="67">
        <f t="shared" si="69"/>
        <v>0</v>
      </c>
      <c r="Y183" s="41"/>
      <c r="Z183" s="67">
        <f t="shared" si="70"/>
        <v>0</v>
      </c>
      <c r="AA183" s="41"/>
      <c r="AB183" s="67">
        <f t="shared" si="71"/>
        <v>0</v>
      </c>
      <c r="AC183" s="41"/>
      <c r="AD183" s="67">
        <f t="shared" si="72"/>
        <v>0</v>
      </c>
      <c r="AE183" s="41"/>
      <c r="AF183" s="108">
        <f t="shared" si="73"/>
        <v>0</v>
      </c>
      <c r="AG183" s="127">
        <f t="shared" si="74"/>
        <v>3004</v>
      </c>
    </row>
    <row r="184" spans="1:33" s="47" customFormat="1" ht="12.75" customHeight="1" x14ac:dyDescent="0.25">
      <c r="A184" s="331"/>
      <c r="B184" s="343"/>
      <c r="C184" s="134" t="s">
        <v>87</v>
      </c>
      <c r="D184" s="134" t="s">
        <v>246</v>
      </c>
      <c r="E184" s="176" t="s">
        <v>304</v>
      </c>
      <c r="F184" s="40" t="s">
        <v>439</v>
      </c>
      <c r="G184" s="110" t="s">
        <v>440</v>
      </c>
      <c r="H184" s="41">
        <v>21581</v>
      </c>
      <c r="I184" s="41">
        <v>21964</v>
      </c>
      <c r="J184" s="67">
        <f t="shared" si="58"/>
        <v>383</v>
      </c>
      <c r="K184" s="41">
        <v>22430</v>
      </c>
      <c r="L184" s="67">
        <f t="shared" si="63"/>
        <v>466</v>
      </c>
      <c r="M184" s="41">
        <v>22792</v>
      </c>
      <c r="N184" s="67">
        <f t="shared" si="64"/>
        <v>362</v>
      </c>
      <c r="O184" s="41">
        <v>22892</v>
      </c>
      <c r="P184" s="67">
        <f t="shared" si="65"/>
        <v>100</v>
      </c>
      <c r="Q184" s="41"/>
      <c r="R184" s="67">
        <f t="shared" si="66"/>
        <v>0</v>
      </c>
      <c r="S184" s="41"/>
      <c r="T184" s="67">
        <f t="shared" si="67"/>
        <v>0</v>
      </c>
      <c r="U184" s="41"/>
      <c r="V184" s="67">
        <f t="shared" si="68"/>
        <v>0</v>
      </c>
      <c r="W184" s="41"/>
      <c r="X184" s="67">
        <f t="shared" si="69"/>
        <v>0</v>
      </c>
      <c r="Y184" s="41"/>
      <c r="Z184" s="67">
        <f t="shared" si="70"/>
        <v>0</v>
      </c>
      <c r="AA184" s="41"/>
      <c r="AB184" s="67">
        <f t="shared" si="71"/>
        <v>0</v>
      </c>
      <c r="AC184" s="41"/>
      <c r="AD184" s="67">
        <f t="shared" si="72"/>
        <v>0</v>
      </c>
      <c r="AE184" s="41"/>
      <c r="AF184" s="108">
        <f t="shared" si="73"/>
        <v>0</v>
      </c>
      <c r="AG184" s="127">
        <f t="shared" si="74"/>
        <v>1311</v>
      </c>
    </row>
    <row r="185" spans="1:33" s="47" customFormat="1" ht="12.75" customHeight="1" x14ac:dyDescent="0.25">
      <c r="A185" s="333"/>
      <c r="B185" s="343"/>
      <c r="C185" s="134" t="s">
        <v>87</v>
      </c>
      <c r="D185" s="134" t="s">
        <v>246</v>
      </c>
      <c r="E185" s="176" t="s">
        <v>337</v>
      </c>
      <c r="F185" s="40" t="s">
        <v>654</v>
      </c>
      <c r="G185" s="40" t="s">
        <v>646</v>
      </c>
      <c r="H185" s="41">
        <v>378</v>
      </c>
      <c r="I185" s="41">
        <v>382</v>
      </c>
      <c r="J185" s="67">
        <f t="shared" si="58"/>
        <v>4</v>
      </c>
      <c r="K185" s="41">
        <v>386</v>
      </c>
      <c r="L185" s="67">
        <f t="shared" si="63"/>
        <v>4</v>
      </c>
      <c r="M185" s="41">
        <v>392</v>
      </c>
      <c r="N185" s="67">
        <f t="shared" si="64"/>
        <v>6</v>
      </c>
      <c r="O185" s="41">
        <v>403</v>
      </c>
      <c r="P185" s="67">
        <f t="shared" si="65"/>
        <v>11</v>
      </c>
      <c r="Q185" s="41"/>
      <c r="R185" s="67">
        <f t="shared" si="66"/>
        <v>0</v>
      </c>
      <c r="S185" s="41"/>
      <c r="T185" s="67">
        <f t="shared" si="67"/>
        <v>0</v>
      </c>
      <c r="U185" s="41"/>
      <c r="V185" s="67">
        <f t="shared" si="68"/>
        <v>0</v>
      </c>
      <c r="W185" s="41"/>
      <c r="X185" s="67">
        <f t="shared" si="69"/>
        <v>0</v>
      </c>
      <c r="Y185" s="41"/>
      <c r="Z185" s="67">
        <f t="shared" si="70"/>
        <v>0</v>
      </c>
      <c r="AA185" s="41"/>
      <c r="AB185" s="67">
        <f t="shared" si="71"/>
        <v>0</v>
      </c>
      <c r="AC185" s="41"/>
      <c r="AD185" s="67">
        <f t="shared" si="72"/>
        <v>0</v>
      </c>
      <c r="AE185" s="41"/>
      <c r="AF185" s="108">
        <f t="shared" si="73"/>
        <v>0</v>
      </c>
      <c r="AG185" s="127">
        <f t="shared" si="74"/>
        <v>25</v>
      </c>
    </row>
    <row r="186" spans="1:33" s="47" customFormat="1" ht="12.75" customHeight="1" x14ac:dyDescent="0.25">
      <c r="A186" s="330" t="s">
        <v>285</v>
      </c>
      <c r="B186" s="343"/>
      <c r="C186" s="134" t="s">
        <v>213</v>
      </c>
      <c r="D186" s="134" t="s">
        <v>52</v>
      </c>
      <c r="E186" s="176" t="s">
        <v>348</v>
      </c>
      <c r="F186" s="40" t="s">
        <v>452</v>
      </c>
      <c r="G186" s="110" t="s">
        <v>727</v>
      </c>
      <c r="H186" s="41">
        <v>102313</v>
      </c>
      <c r="I186" s="41">
        <v>102649</v>
      </c>
      <c r="J186" s="67">
        <f t="shared" si="58"/>
        <v>336</v>
      </c>
      <c r="K186" s="41">
        <v>102920</v>
      </c>
      <c r="L186" s="67">
        <f t="shared" si="63"/>
        <v>271</v>
      </c>
      <c r="M186" s="41">
        <v>103223</v>
      </c>
      <c r="N186" s="67">
        <f t="shared" si="64"/>
        <v>303</v>
      </c>
      <c r="O186" s="41">
        <v>306</v>
      </c>
      <c r="P186" s="67">
        <f>103413-M186+O186</f>
        <v>496</v>
      </c>
      <c r="Q186" s="41"/>
      <c r="R186" s="67">
        <f t="shared" si="66"/>
        <v>0</v>
      </c>
      <c r="S186" s="41"/>
      <c r="T186" s="67">
        <f t="shared" si="67"/>
        <v>0</v>
      </c>
      <c r="U186" s="41"/>
      <c r="V186" s="67">
        <f t="shared" si="68"/>
        <v>0</v>
      </c>
      <c r="W186" s="41"/>
      <c r="X186" s="67">
        <f t="shared" si="69"/>
        <v>0</v>
      </c>
      <c r="Y186" s="41"/>
      <c r="Z186" s="67">
        <f t="shared" si="70"/>
        <v>0</v>
      </c>
      <c r="AA186" s="41"/>
      <c r="AB186" s="67">
        <f t="shared" si="71"/>
        <v>0</v>
      </c>
      <c r="AC186" s="41"/>
      <c r="AD186" s="67">
        <f t="shared" si="72"/>
        <v>0</v>
      </c>
      <c r="AE186" s="41"/>
      <c r="AF186" s="108">
        <f t="shared" si="73"/>
        <v>0</v>
      </c>
      <c r="AG186" s="127">
        <f t="shared" si="74"/>
        <v>1406</v>
      </c>
    </row>
    <row r="187" spans="1:33" s="47" customFormat="1" ht="12.75" customHeight="1" x14ac:dyDescent="0.25">
      <c r="A187" s="331"/>
      <c r="B187" s="343"/>
      <c r="C187" s="134" t="s">
        <v>450</v>
      </c>
      <c r="D187" s="134" t="s">
        <v>52</v>
      </c>
      <c r="E187" s="176" t="s">
        <v>348</v>
      </c>
      <c r="F187" s="40" t="s">
        <v>451</v>
      </c>
      <c r="G187" s="110" t="s">
        <v>459</v>
      </c>
      <c r="H187" s="41">
        <v>1021</v>
      </c>
      <c r="I187" s="41">
        <v>1123</v>
      </c>
      <c r="J187" s="67">
        <f t="shared" si="58"/>
        <v>102</v>
      </c>
      <c r="K187" s="41">
        <v>1197</v>
      </c>
      <c r="L187" s="67">
        <f t="shared" si="63"/>
        <v>74</v>
      </c>
      <c r="M187" s="41">
        <v>1269</v>
      </c>
      <c r="N187" s="67">
        <f t="shared" si="64"/>
        <v>72</v>
      </c>
      <c r="O187" s="41">
        <v>1324</v>
      </c>
      <c r="P187" s="67">
        <f t="shared" si="65"/>
        <v>55</v>
      </c>
      <c r="Q187" s="41"/>
      <c r="R187" s="67">
        <f t="shared" si="66"/>
        <v>0</v>
      </c>
      <c r="S187" s="41"/>
      <c r="T187" s="67">
        <f t="shared" si="67"/>
        <v>0</v>
      </c>
      <c r="U187" s="41"/>
      <c r="V187" s="67">
        <f t="shared" si="68"/>
        <v>0</v>
      </c>
      <c r="W187" s="41"/>
      <c r="X187" s="67">
        <f t="shared" si="69"/>
        <v>0</v>
      </c>
      <c r="Y187" s="41"/>
      <c r="Z187" s="67">
        <f t="shared" si="70"/>
        <v>0</v>
      </c>
      <c r="AA187" s="41"/>
      <c r="AB187" s="67">
        <f t="shared" si="71"/>
        <v>0</v>
      </c>
      <c r="AC187" s="41"/>
      <c r="AD187" s="67">
        <f t="shared" si="72"/>
        <v>0</v>
      </c>
      <c r="AE187" s="41"/>
      <c r="AF187" s="108">
        <f t="shared" si="73"/>
        <v>0</v>
      </c>
      <c r="AG187" s="127">
        <f t="shared" si="74"/>
        <v>303</v>
      </c>
    </row>
    <row r="188" spans="1:33" s="47" customFormat="1" ht="12.75" customHeight="1" x14ac:dyDescent="0.25">
      <c r="A188" s="331"/>
      <c r="B188" s="343"/>
      <c r="C188" s="134" t="s">
        <v>647</v>
      </c>
      <c r="D188" s="134" t="s">
        <v>52</v>
      </c>
      <c r="E188" s="176" t="s">
        <v>348</v>
      </c>
      <c r="F188" s="40" t="s">
        <v>658</v>
      </c>
      <c r="G188" s="110" t="s">
        <v>665</v>
      </c>
      <c r="H188" s="41">
        <v>1883</v>
      </c>
      <c r="I188" s="41">
        <v>1932</v>
      </c>
      <c r="J188" s="67">
        <f t="shared" si="58"/>
        <v>49</v>
      </c>
      <c r="K188" s="41">
        <v>1950</v>
      </c>
      <c r="L188" s="67">
        <f t="shared" si="63"/>
        <v>18</v>
      </c>
      <c r="M188" s="41">
        <v>2076</v>
      </c>
      <c r="N188" s="67">
        <f t="shared" si="64"/>
        <v>126</v>
      </c>
      <c r="O188" s="41">
        <v>2280</v>
      </c>
      <c r="P188" s="67">
        <f t="shared" si="65"/>
        <v>204</v>
      </c>
      <c r="Q188" s="41"/>
      <c r="R188" s="67">
        <f t="shared" si="66"/>
        <v>0</v>
      </c>
      <c r="S188" s="41"/>
      <c r="T188" s="67">
        <f t="shared" si="67"/>
        <v>0</v>
      </c>
      <c r="U188" s="41"/>
      <c r="V188" s="67">
        <f t="shared" si="68"/>
        <v>0</v>
      </c>
      <c r="W188" s="41"/>
      <c r="X188" s="67">
        <f t="shared" si="69"/>
        <v>0</v>
      </c>
      <c r="Y188" s="41"/>
      <c r="Z188" s="67">
        <f t="shared" si="70"/>
        <v>0</v>
      </c>
      <c r="AA188" s="41"/>
      <c r="AB188" s="67">
        <f t="shared" si="71"/>
        <v>0</v>
      </c>
      <c r="AC188" s="41"/>
      <c r="AD188" s="67">
        <f t="shared" si="72"/>
        <v>0</v>
      </c>
      <c r="AE188" s="41"/>
      <c r="AF188" s="108">
        <f t="shared" si="73"/>
        <v>0</v>
      </c>
      <c r="AG188" s="127">
        <f t="shared" si="74"/>
        <v>397</v>
      </c>
    </row>
    <row r="189" spans="1:33" s="47" customFormat="1" ht="12.75" customHeight="1" x14ac:dyDescent="0.25">
      <c r="A189" s="331"/>
      <c r="B189" s="343"/>
      <c r="C189" s="134" t="s">
        <v>213</v>
      </c>
      <c r="D189" s="134" t="s">
        <v>52</v>
      </c>
      <c r="E189" s="176" t="s">
        <v>304</v>
      </c>
      <c r="F189" s="40" t="s">
        <v>436</v>
      </c>
      <c r="G189" s="110" t="s">
        <v>437</v>
      </c>
      <c r="H189" s="41">
        <v>1867</v>
      </c>
      <c r="I189" s="41">
        <v>2022</v>
      </c>
      <c r="J189" s="67">
        <f t="shared" si="58"/>
        <v>155</v>
      </c>
      <c r="K189" s="41">
        <v>2207</v>
      </c>
      <c r="L189" s="67">
        <f t="shared" si="63"/>
        <v>185</v>
      </c>
      <c r="M189" s="41">
        <v>2260</v>
      </c>
      <c r="N189" s="67">
        <f t="shared" si="64"/>
        <v>53</v>
      </c>
      <c r="O189" s="41">
        <v>2274</v>
      </c>
      <c r="P189" s="67">
        <f t="shared" si="65"/>
        <v>14</v>
      </c>
      <c r="Q189" s="41"/>
      <c r="R189" s="67">
        <f t="shared" si="66"/>
        <v>0</v>
      </c>
      <c r="S189" s="41"/>
      <c r="T189" s="67">
        <f t="shared" si="67"/>
        <v>0</v>
      </c>
      <c r="U189" s="41"/>
      <c r="V189" s="67">
        <f t="shared" si="68"/>
        <v>0</v>
      </c>
      <c r="W189" s="41"/>
      <c r="X189" s="67">
        <f t="shared" si="69"/>
        <v>0</v>
      </c>
      <c r="Y189" s="41"/>
      <c r="Z189" s="67">
        <f t="shared" si="70"/>
        <v>0</v>
      </c>
      <c r="AA189" s="41"/>
      <c r="AB189" s="67">
        <f t="shared" si="71"/>
        <v>0</v>
      </c>
      <c r="AC189" s="41"/>
      <c r="AD189" s="67">
        <f t="shared" si="72"/>
        <v>0</v>
      </c>
      <c r="AE189" s="41"/>
      <c r="AF189" s="108">
        <f t="shared" si="73"/>
        <v>0</v>
      </c>
      <c r="AG189" s="127">
        <f t="shared" si="74"/>
        <v>407</v>
      </c>
    </row>
    <row r="190" spans="1:33" s="47" customFormat="1" ht="12.75" customHeight="1" x14ac:dyDescent="0.25">
      <c r="A190" s="331"/>
      <c r="B190" s="343"/>
      <c r="C190" s="134" t="s">
        <v>450</v>
      </c>
      <c r="D190" s="134" t="s">
        <v>52</v>
      </c>
      <c r="E190" s="176" t="s">
        <v>304</v>
      </c>
      <c r="F190" s="40" t="s">
        <v>435</v>
      </c>
      <c r="G190" s="110" t="s">
        <v>438</v>
      </c>
      <c r="H190" s="41">
        <v>22333</v>
      </c>
      <c r="I190" s="41">
        <v>22529</v>
      </c>
      <c r="J190" s="67">
        <f t="shared" si="58"/>
        <v>196</v>
      </c>
      <c r="K190" s="41">
        <v>22729</v>
      </c>
      <c r="L190" s="67">
        <f t="shared" si="63"/>
        <v>200</v>
      </c>
      <c r="M190" s="41">
        <v>22857</v>
      </c>
      <c r="N190" s="67">
        <f t="shared" si="64"/>
        <v>128</v>
      </c>
      <c r="O190" s="41">
        <v>22896</v>
      </c>
      <c r="P190" s="67">
        <f t="shared" si="65"/>
        <v>39</v>
      </c>
      <c r="Q190" s="41"/>
      <c r="R190" s="67">
        <f t="shared" si="66"/>
        <v>0</v>
      </c>
      <c r="S190" s="41"/>
      <c r="T190" s="67">
        <f t="shared" si="67"/>
        <v>0</v>
      </c>
      <c r="U190" s="41"/>
      <c r="V190" s="67">
        <f t="shared" si="68"/>
        <v>0</v>
      </c>
      <c r="W190" s="41"/>
      <c r="X190" s="67">
        <f t="shared" si="69"/>
        <v>0</v>
      </c>
      <c r="Y190" s="41"/>
      <c r="Z190" s="67">
        <f t="shared" si="70"/>
        <v>0</v>
      </c>
      <c r="AA190" s="41"/>
      <c r="AB190" s="67">
        <f t="shared" si="71"/>
        <v>0</v>
      </c>
      <c r="AC190" s="41"/>
      <c r="AD190" s="67">
        <f t="shared" si="72"/>
        <v>0</v>
      </c>
      <c r="AE190" s="41"/>
      <c r="AF190" s="108">
        <f t="shared" si="73"/>
        <v>0</v>
      </c>
      <c r="AG190" s="127">
        <f t="shared" si="74"/>
        <v>563</v>
      </c>
    </row>
    <row r="191" spans="1:33" s="47" customFormat="1" ht="12.75" customHeight="1" x14ac:dyDescent="0.25">
      <c r="A191" s="331"/>
      <c r="B191" s="343"/>
      <c r="C191" s="134" t="s">
        <v>213</v>
      </c>
      <c r="D191" s="134" t="s">
        <v>52</v>
      </c>
      <c r="E191" s="176" t="s">
        <v>337</v>
      </c>
      <c r="F191" s="40" t="s">
        <v>466</v>
      </c>
      <c r="G191" s="110" t="s">
        <v>649</v>
      </c>
      <c r="H191" s="41">
        <v>1539</v>
      </c>
      <c r="I191" s="41">
        <v>1E-3</v>
      </c>
      <c r="J191" s="67">
        <f>1540-H191+I191</f>
        <v>1.0009999999999999</v>
      </c>
      <c r="K191" s="41">
        <v>1</v>
      </c>
      <c r="L191" s="67">
        <f t="shared" si="63"/>
        <v>0.999</v>
      </c>
      <c r="M191" s="41">
        <v>4</v>
      </c>
      <c r="N191" s="67">
        <f t="shared" si="64"/>
        <v>3</v>
      </c>
      <c r="O191" s="41">
        <v>12</v>
      </c>
      <c r="P191" s="67">
        <f t="shared" si="65"/>
        <v>8</v>
      </c>
      <c r="Q191" s="41"/>
      <c r="R191" s="67">
        <f t="shared" si="66"/>
        <v>0</v>
      </c>
      <c r="S191" s="41"/>
      <c r="T191" s="67">
        <f t="shared" si="67"/>
        <v>0</v>
      </c>
      <c r="U191" s="41"/>
      <c r="V191" s="67">
        <f t="shared" si="68"/>
        <v>0</v>
      </c>
      <c r="W191" s="41"/>
      <c r="X191" s="67">
        <f t="shared" si="69"/>
        <v>0</v>
      </c>
      <c r="Y191" s="41"/>
      <c r="Z191" s="67">
        <f t="shared" si="70"/>
        <v>0</v>
      </c>
      <c r="AA191" s="41"/>
      <c r="AB191" s="67">
        <f t="shared" si="71"/>
        <v>0</v>
      </c>
      <c r="AC191" s="41"/>
      <c r="AD191" s="67">
        <f t="shared" si="72"/>
        <v>0</v>
      </c>
      <c r="AE191" s="41"/>
      <c r="AF191" s="108">
        <f t="shared" si="73"/>
        <v>0</v>
      </c>
      <c r="AG191" s="127">
        <f t="shared" si="74"/>
        <v>13</v>
      </c>
    </row>
    <row r="192" spans="1:33" s="47" customFormat="1" ht="12.75" customHeight="1" x14ac:dyDescent="0.25">
      <c r="A192" s="331"/>
      <c r="B192" s="343"/>
      <c r="C192" s="134" t="s">
        <v>213</v>
      </c>
      <c r="D192" s="134" t="s">
        <v>52</v>
      </c>
      <c r="E192" s="176" t="s">
        <v>337</v>
      </c>
      <c r="F192" s="40" t="s">
        <v>657</v>
      </c>
      <c r="G192" s="110" t="s">
        <v>659</v>
      </c>
      <c r="H192" s="41">
        <v>234</v>
      </c>
      <c r="I192" s="41">
        <v>234</v>
      </c>
      <c r="J192" s="67">
        <f t="shared" si="58"/>
        <v>0</v>
      </c>
      <c r="K192" s="41">
        <v>234</v>
      </c>
      <c r="L192" s="67">
        <f t="shared" si="63"/>
        <v>0</v>
      </c>
      <c r="M192" s="41">
        <v>234</v>
      </c>
      <c r="N192" s="67">
        <f t="shared" si="64"/>
        <v>0</v>
      </c>
      <c r="O192" s="41">
        <v>234</v>
      </c>
      <c r="P192" s="67">
        <f t="shared" si="65"/>
        <v>0</v>
      </c>
      <c r="Q192" s="41"/>
      <c r="R192" s="67">
        <f t="shared" si="66"/>
        <v>0</v>
      </c>
      <c r="S192" s="41"/>
      <c r="T192" s="67">
        <f t="shared" si="67"/>
        <v>0</v>
      </c>
      <c r="U192" s="41"/>
      <c r="V192" s="67">
        <f t="shared" si="68"/>
        <v>0</v>
      </c>
      <c r="W192" s="41"/>
      <c r="X192" s="67">
        <f t="shared" si="69"/>
        <v>0</v>
      </c>
      <c r="Y192" s="41"/>
      <c r="Z192" s="67">
        <f t="shared" si="70"/>
        <v>0</v>
      </c>
      <c r="AA192" s="41"/>
      <c r="AB192" s="67">
        <f t="shared" si="71"/>
        <v>0</v>
      </c>
      <c r="AC192" s="41"/>
      <c r="AD192" s="67">
        <f t="shared" si="72"/>
        <v>0</v>
      </c>
      <c r="AE192" s="41"/>
      <c r="AF192" s="108">
        <f t="shared" si="73"/>
        <v>0</v>
      </c>
      <c r="AG192" s="127">
        <f t="shared" si="74"/>
        <v>0</v>
      </c>
    </row>
    <row r="193" spans="1:33" s="47" customFormat="1" ht="12.75" customHeight="1" x14ac:dyDescent="0.25">
      <c r="A193" s="331"/>
      <c r="B193" s="343"/>
      <c r="C193" s="134" t="s">
        <v>213</v>
      </c>
      <c r="D193" s="134" t="s">
        <v>52</v>
      </c>
      <c r="E193" s="176" t="s">
        <v>337</v>
      </c>
      <c r="F193" s="40" t="s">
        <v>658</v>
      </c>
      <c r="G193" s="110" t="s">
        <v>666</v>
      </c>
      <c r="H193" s="41">
        <v>28</v>
      </c>
      <c r="I193" s="41">
        <v>28</v>
      </c>
      <c r="J193" s="67">
        <f t="shared" si="58"/>
        <v>0</v>
      </c>
      <c r="K193" s="41">
        <v>28</v>
      </c>
      <c r="L193" s="67">
        <f t="shared" si="63"/>
        <v>0</v>
      </c>
      <c r="M193" s="41">
        <v>28</v>
      </c>
      <c r="N193" s="67">
        <f t="shared" si="64"/>
        <v>0</v>
      </c>
      <c r="O193" s="41">
        <v>28</v>
      </c>
      <c r="P193" s="67">
        <f t="shared" si="65"/>
        <v>0</v>
      </c>
      <c r="Q193" s="41"/>
      <c r="R193" s="67">
        <f t="shared" si="66"/>
        <v>0</v>
      </c>
      <c r="S193" s="41"/>
      <c r="T193" s="67">
        <f t="shared" si="67"/>
        <v>0</v>
      </c>
      <c r="U193" s="41"/>
      <c r="V193" s="67">
        <f t="shared" si="68"/>
        <v>0</v>
      </c>
      <c r="W193" s="41"/>
      <c r="X193" s="67">
        <f t="shared" si="69"/>
        <v>0</v>
      </c>
      <c r="Y193" s="41"/>
      <c r="Z193" s="67">
        <f t="shared" si="70"/>
        <v>0</v>
      </c>
      <c r="AA193" s="41"/>
      <c r="AB193" s="67">
        <f t="shared" si="71"/>
        <v>0</v>
      </c>
      <c r="AC193" s="41"/>
      <c r="AD193" s="67">
        <f t="shared" si="72"/>
        <v>0</v>
      </c>
      <c r="AE193" s="41"/>
      <c r="AF193" s="108">
        <f t="shared" si="73"/>
        <v>0</v>
      </c>
      <c r="AG193" s="127">
        <f t="shared" si="74"/>
        <v>0</v>
      </c>
    </row>
    <row r="194" spans="1:33" s="47" customFormat="1" ht="12.75" customHeight="1" x14ac:dyDescent="0.25">
      <c r="A194" s="330" t="s">
        <v>286</v>
      </c>
      <c r="B194" s="343"/>
      <c r="C194" s="134" t="s">
        <v>53</v>
      </c>
      <c r="D194" s="134" t="s">
        <v>247</v>
      </c>
      <c r="E194" s="176" t="s">
        <v>380</v>
      </c>
      <c r="F194" s="40" t="s">
        <v>538</v>
      </c>
      <c r="G194" s="110" t="s">
        <v>685</v>
      </c>
      <c r="H194" s="41">
        <v>2058</v>
      </c>
      <c r="I194" s="41">
        <v>2061</v>
      </c>
      <c r="J194" s="67">
        <f t="shared" si="58"/>
        <v>3</v>
      </c>
      <c r="K194" s="41">
        <v>2061</v>
      </c>
      <c r="L194" s="67">
        <f t="shared" si="63"/>
        <v>0</v>
      </c>
      <c r="M194" s="41">
        <v>2061</v>
      </c>
      <c r="N194" s="67">
        <f t="shared" si="64"/>
        <v>0</v>
      </c>
      <c r="O194" s="41">
        <v>2061</v>
      </c>
      <c r="P194" s="67">
        <f t="shared" si="65"/>
        <v>0</v>
      </c>
      <c r="Q194" s="41"/>
      <c r="R194" s="67">
        <f t="shared" si="66"/>
        <v>0</v>
      </c>
      <c r="S194" s="41"/>
      <c r="T194" s="67">
        <f t="shared" si="67"/>
        <v>0</v>
      </c>
      <c r="U194" s="41"/>
      <c r="V194" s="67">
        <f t="shared" si="68"/>
        <v>0</v>
      </c>
      <c r="W194" s="41"/>
      <c r="X194" s="67">
        <f t="shared" si="69"/>
        <v>0</v>
      </c>
      <c r="Y194" s="41"/>
      <c r="Z194" s="67">
        <f t="shared" si="70"/>
        <v>0</v>
      </c>
      <c r="AA194" s="41"/>
      <c r="AB194" s="67">
        <f t="shared" si="71"/>
        <v>0</v>
      </c>
      <c r="AC194" s="41"/>
      <c r="AD194" s="67">
        <f t="shared" si="72"/>
        <v>0</v>
      </c>
      <c r="AE194" s="41"/>
      <c r="AF194" s="108">
        <f t="shared" si="73"/>
        <v>0</v>
      </c>
      <c r="AG194" s="127">
        <f t="shared" si="74"/>
        <v>3</v>
      </c>
    </row>
    <row r="195" spans="1:33" s="47" customFormat="1" ht="12.75" customHeight="1" x14ac:dyDescent="0.25">
      <c r="A195" s="331"/>
      <c r="B195" s="343"/>
      <c r="C195" s="134" t="s">
        <v>53</v>
      </c>
      <c r="D195" s="134" t="s">
        <v>247</v>
      </c>
      <c r="E195" s="176" t="s">
        <v>380</v>
      </c>
      <c r="F195" s="40" t="s">
        <v>648</v>
      </c>
      <c r="G195" s="110" t="s">
        <v>687</v>
      </c>
      <c r="H195" s="41">
        <v>839906</v>
      </c>
      <c r="I195" s="41">
        <v>840196</v>
      </c>
      <c r="J195" s="67">
        <f t="shared" si="58"/>
        <v>290</v>
      </c>
      <c r="K195" s="41">
        <v>840474</v>
      </c>
      <c r="L195" s="67">
        <f t="shared" si="63"/>
        <v>278</v>
      </c>
      <c r="M195" s="41">
        <v>840783</v>
      </c>
      <c r="N195" s="67">
        <f t="shared" si="64"/>
        <v>309</v>
      </c>
      <c r="O195" s="41">
        <v>840996</v>
      </c>
      <c r="P195" s="67">
        <f t="shared" si="65"/>
        <v>213</v>
      </c>
      <c r="Q195" s="41"/>
      <c r="R195" s="67">
        <f t="shared" si="66"/>
        <v>0</v>
      </c>
      <c r="S195" s="41"/>
      <c r="T195" s="67">
        <f t="shared" si="67"/>
        <v>0</v>
      </c>
      <c r="U195" s="41"/>
      <c r="V195" s="67">
        <f t="shared" si="68"/>
        <v>0</v>
      </c>
      <c r="W195" s="41"/>
      <c r="X195" s="67">
        <f t="shared" si="69"/>
        <v>0</v>
      </c>
      <c r="Y195" s="41"/>
      <c r="Z195" s="67">
        <f t="shared" si="70"/>
        <v>0</v>
      </c>
      <c r="AA195" s="41"/>
      <c r="AB195" s="67">
        <f t="shared" si="71"/>
        <v>0</v>
      </c>
      <c r="AC195" s="41"/>
      <c r="AD195" s="67">
        <f t="shared" si="72"/>
        <v>0</v>
      </c>
      <c r="AE195" s="41"/>
      <c r="AF195" s="108">
        <f t="shared" si="73"/>
        <v>0</v>
      </c>
      <c r="AG195" s="127">
        <f t="shared" si="74"/>
        <v>1090</v>
      </c>
    </row>
    <row r="196" spans="1:33" ht="12.75" customHeight="1" x14ac:dyDescent="0.25">
      <c r="A196" s="331"/>
      <c r="B196" s="343"/>
      <c r="C196" s="39" t="s">
        <v>53</v>
      </c>
      <c r="D196" s="39" t="s">
        <v>247</v>
      </c>
      <c r="E196" s="128" t="s">
        <v>337</v>
      </c>
      <c r="F196" s="40" t="s">
        <v>469</v>
      </c>
      <c r="G196" s="110" t="s">
        <v>470</v>
      </c>
      <c r="H196" s="41">
        <v>1171.5</v>
      </c>
      <c r="I196" s="41">
        <v>1171.5</v>
      </c>
      <c r="J196" s="67">
        <f t="shared" si="58"/>
        <v>0</v>
      </c>
      <c r="K196" s="41">
        <v>1171.5</v>
      </c>
      <c r="L196" s="67">
        <f t="shared" si="63"/>
        <v>0</v>
      </c>
      <c r="M196" s="41">
        <v>1171.5</v>
      </c>
      <c r="N196" s="67">
        <f t="shared" si="64"/>
        <v>0</v>
      </c>
      <c r="O196" s="41">
        <v>1171.5</v>
      </c>
      <c r="P196" s="67">
        <f t="shared" si="65"/>
        <v>0</v>
      </c>
      <c r="Q196" s="41"/>
      <c r="R196" s="67">
        <f t="shared" si="66"/>
        <v>0</v>
      </c>
      <c r="S196" s="41"/>
      <c r="T196" s="67">
        <f t="shared" si="67"/>
        <v>0</v>
      </c>
      <c r="U196" s="41"/>
      <c r="V196" s="67">
        <f t="shared" si="68"/>
        <v>0</v>
      </c>
      <c r="W196" s="41"/>
      <c r="X196" s="67">
        <f t="shared" si="69"/>
        <v>0</v>
      </c>
      <c r="Y196" s="41"/>
      <c r="Z196" s="67">
        <f t="shared" si="70"/>
        <v>0</v>
      </c>
      <c r="AA196" s="41"/>
      <c r="AB196" s="67">
        <f t="shared" si="71"/>
        <v>0</v>
      </c>
      <c r="AC196" s="41"/>
      <c r="AD196" s="67">
        <f t="shared" si="72"/>
        <v>0</v>
      </c>
      <c r="AE196" s="41"/>
      <c r="AF196" s="108">
        <f t="shared" si="73"/>
        <v>0</v>
      </c>
      <c r="AG196" s="127">
        <f t="shared" si="74"/>
        <v>0</v>
      </c>
    </row>
    <row r="197" spans="1:33" ht="12.75" customHeight="1" x14ac:dyDescent="0.25">
      <c r="A197" s="333"/>
      <c r="B197" s="343"/>
      <c r="C197" s="39" t="s">
        <v>53</v>
      </c>
      <c r="D197" s="39" t="s">
        <v>247</v>
      </c>
      <c r="E197" s="128" t="s">
        <v>337</v>
      </c>
      <c r="F197" s="40" t="s">
        <v>655</v>
      </c>
      <c r="G197" s="110" t="s">
        <v>656</v>
      </c>
      <c r="H197" s="41">
        <v>1069</v>
      </c>
      <c r="I197" s="41">
        <v>1069</v>
      </c>
      <c r="J197" s="67">
        <f t="shared" si="58"/>
        <v>0</v>
      </c>
      <c r="K197" s="41">
        <v>1069</v>
      </c>
      <c r="L197" s="67">
        <f t="shared" si="63"/>
        <v>0</v>
      </c>
      <c r="M197" s="41">
        <v>1069</v>
      </c>
      <c r="N197" s="67">
        <f t="shared" si="64"/>
        <v>0</v>
      </c>
      <c r="O197" s="41">
        <v>1069</v>
      </c>
      <c r="P197" s="67">
        <f t="shared" si="65"/>
        <v>0</v>
      </c>
      <c r="Q197" s="41"/>
      <c r="R197" s="67">
        <f t="shared" si="66"/>
        <v>0</v>
      </c>
      <c r="S197" s="41"/>
      <c r="T197" s="67">
        <f t="shared" si="67"/>
        <v>0</v>
      </c>
      <c r="U197" s="41"/>
      <c r="V197" s="67">
        <f t="shared" si="68"/>
        <v>0</v>
      </c>
      <c r="W197" s="41"/>
      <c r="X197" s="67">
        <f t="shared" si="69"/>
        <v>0</v>
      </c>
      <c r="Y197" s="41"/>
      <c r="Z197" s="67">
        <f t="shared" si="70"/>
        <v>0</v>
      </c>
      <c r="AA197" s="41"/>
      <c r="AB197" s="67">
        <f t="shared" si="71"/>
        <v>0</v>
      </c>
      <c r="AC197" s="41"/>
      <c r="AD197" s="67">
        <f t="shared" si="72"/>
        <v>0</v>
      </c>
      <c r="AE197" s="41"/>
      <c r="AF197" s="108">
        <f t="shared" si="73"/>
        <v>0</v>
      </c>
      <c r="AG197" s="127">
        <f t="shared" si="74"/>
        <v>0</v>
      </c>
    </row>
    <row r="198" spans="1:33" s="47" customFormat="1" ht="12.75" customHeight="1" x14ac:dyDescent="0.25">
      <c r="A198" s="330" t="s">
        <v>287</v>
      </c>
      <c r="B198" s="343"/>
      <c r="C198" s="134" t="s">
        <v>298</v>
      </c>
      <c r="D198" s="134" t="s">
        <v>55</v>
      </c>
      <c r="E198" s="176" t="s">
        <v>348</v>
      </c>
      <c r="F198" s="40" t="s">
        <v>456</v>
      </c>
      <c r="G198" s="110" t="s">
        <v>460</v>
      </c>
      <c r="H198" s="41">
        <v>10885</v>
      </c>
      <c r="I198" s="41">
        <v>11778</v>
      </c>
      <c r="J198" s="67">
        <f t="shared" si="58"/>
        <v>893</v>
      </c>
      <c r="K198" s="41">
        <v>12801</v>
      </c>
      <c r="L198" s="67">
        <f t="shared" si="63"/>
        <v>1023</v>
      </c>
      <c r="M198" s="41">
        <v>13567</v>
      </c>
      <c r="N198" s="67">
        <f t="shared" si="64"/>
        <v>766</v>
      </c>
      <c r="O198" s="41">
        <v>13967</v>
      </c>
      <c r="P198" s="67">
        <f t="shared" si="65"/>
        <v>400</v>
      </c>
      <c r="Q198" s="41">
        <v>14237</v>
      </c>
      <c r="R198" s="67">
        <f t="shared" si="66"/>
        <v>270</v>
      </c>
      <c r="S198" s="41"/>
      <c r="T198" s="67">
        <f t="shared" si="67"/>
        <v>0</v>
      </c>
      <c r="U198" s="41"/>
      <c r="V198" s="67">
        <f t="shared" si="68"/>
        <v>0</v>
      </c>
      <c r="W198" s="41"/>
      <c r="X198" s="67">
        <f t="shared" si="69"/>
        <v>0</v>
      </c>
      <c r="Y198" s="41"/>
      <c r="Z198" s="67">
        <f t="shared" si="70"/>
        <v>0</v>
      </c>
      <c r="AA198" s="41"/>
      <c r="AB198" s="67">
        <f t="shared" si="71"/>
        <v>0</v>
      </c>
      <c r="AC198" s="41"/>
      <c r="AD198" s="67">
        <f t="shared" si="72"/>
        <v>0</v>
      </c>
      <c r="AE198" s="41"/>
      <c r="AF198" s="108">
        <f t="shared" si="73"/>
        <v>0</v>
      </c>
      <c r="AG198" s="127">
        <f t="shared" si="74"/>
        <v>3352</v>
      </c>
    </row>
    <row r="199" spans="1:33" ht="12.75" customHeight="1" x14ac:dyDescent="0.25">
      <c r="A199" s="331"/>
      <c r="B199" s="343"/>
      <c r="C199" s="39" t="s">
        <v>298</v>
      </c>
      <c r="D199" s="58" t="s">
        <v>55</v>
      </c>
      <c r="E199" s="59" t="s">
        <v>363</v>
      </c>
      <c r="F199" s="60" t="s">
        <v>456</v>
      </c>
      <c r="G199" s="115" t="s">
        <v>460</v>
      </c>
      <c r="H199" s="104">
        <v>3278</v>
      </c>
      <c r="I199" s="104">
        <v>3278</v>
      </c>
      <c r="J199" s="122">
        <f t="shared" si="58"/>
        <v>0</v>
      </c>
      <c r="K199" s="104">
        <v>3278</v>
      </c>
      <c r="L199" s="122">
        <f t="shared" si="63"/>
        <v>0</v>
      </c>
      <c r="M199" s="104">
        <v>3278</v>
      </c>
      <c r="N199" s="122">
        <f t="shared" si="64"/>
        <v>0</v>
      </c>
      <c r="O199" s="104">
        <v>3278</v>
      </c>
      <c r="P199" s="122">
        <f t="shared" si="65"/>
        <v>0</v>
      </c>
      <c r="Q199" s="104">
        <v>3278</v>
      </c>
      <c r="R199" s="122">
        <f t="shared" si="66"/>
        <v>0</v>
      </c>
      <c r="S199" s="104"/>
      <c r="T199" s="122">
        <f t="shared" si="67"/>
        <v>0</v>
      </c>
      <c r="U199" s="104"/>
      <c r="V199" s="122">
        <f t="shared" si="68"/>
        <v>0</v>
      </c>
      <c r="W199" s="104"/>
      <c r="X199" s="122">
        <f t="shared" si="69"/>
        <v>0</v>
      </c>
      <c r="Y199" s="104"/>
      <c r="Z199" s="122">
        <f t="shared" si="70"/>
        <v>0</v>
      </c>
      <c r="AA199" s="104"/>
      <c r="AB199" s="122">
        <f t="shared" si="71"/>
        <v>0</v>
      </c>
      <c r="AC199" s="104"/>
      <c r="AD199" s="122">
        <f t="shared" si="72"/>
        <v>0</v>
      </c>
      <c r="AE199" s="104"/>
      <c r="AF199" s="126">
        <f t="shared" si="73"/>
        <v>0</v>
      </c>
      <c r="AG199" s="127">
        <f t="shared" si="74"/>
        <v>0</v>
      </c>
    </row>
    <row r="200" spans="1:33" s="47" customFormat="1" ht="12.75" customHeight="1" x14ac:dyDescent="0.25">
      <c r="A200" s="331"/>
      <c r="B200" s="343"/>
      <c r="C200" s="134" t="s">
        <v>298</v>
      </c>
      <c r="D200" s="134" t="s">
        <v>55</v>
      </c>
      <c r="E200" s="176" t="s">
        <v>304</v>
      </c>
      <c r="F200" s="40" t="s">
        <v>387</v>
      </c>
      <c r="G200" s="110" t="s">
        <v>723</v>
      </c>
      <c r="H200" s="41">
        <v>8353.3799999999992</v>
      </c>
      <c r="I200" s="41">
        <v>8480.91</v>
      </c>
      <c r="J200" s="67">
        <f t="shared" si="58"/>
        <v>127.53000000000065</v>
      </c>
      <c r="K200" s="41">
        <v>102.7</v>
      </c>
      <c r="L200" s="67">
        <f>8513-I200-1+K200</f>
        <v>133.79000000000013</v>
      </c>
      <c r="M200" s="41">
        <v>200.76</v>
      </c>
      <c r="N200" s="67">
        <f t="shared" si="64"/>
        <v>98.059999999999988</v>
      </c>
      <c r="O200" s="41">
        <v>247.21</v>
      </c>
      <c r="P200" s="67">
        <f t="shared" si="65"/>
        <v>46.450000000000017</v>
      </c>
      <c r="Q200" s="41">
        <v>277.33</v>
      </c>
      <c r="R200" s="67">
        <f t="shared" si="66"/>
        <v>30.119999999999976</v>
      </c>
      <c r="S200" s="41"/>
      <c r="T200" s="67">
        <f t="shared" si="67"/>
        <v>0</v>
      </c>
      <c r="U200" s="41"/>
      <c r="V200" s="67">
        <f t="shared" si="68"/>
        <v>0</v>
      </c>
      <c r="W200" s="41"/>
      <c r="X200" s="67">
        <f t="shared" si="69"/>
        <v>0</v>
      </c>
      <c r="Y200" s="41"/>
      <c r="Z200" s="67">
        <f t="shared" si="70"/>
        <v>0</v>
      </c>
      <c r="AA200" s="41"/>
      <c r="AB200" s="67">
        <f t="shared" si="71"/>
        <v>0</v>
      </c>
      <c r="AC200" s="41"/>
      <c r="AD200" s="67">
        <f t="shared" si="72"/>
        <v>0</v>
      </c>
      <c r="AE200" s="41"/>
      <c r="AF200" s="108">
        <f t="shared" si="73"/>
        <v>0</v>
      </c>
      <c r="AG200" s="127">
        <f t="shared" si="74"/>
        <v>435.95000000000084</v>
      </c>
    </row>
    <row r="201" spans="1:33" s="47" customFormat="1" ht="12.75" customHeight="1" x14ac:dyDescent="0.25">
      <c r="A201" s="333"/>
      <c r="B201" s="343"/>
      <c r="C201" s="134" t="s">
        <v>298</v>
      </c>
      <c r="D201" s="134" t="s">
        <v>55</v>
      </c>
      <c r="E201" s="176" t="s">
        <v>337</v>
      </c>
      <c r="F201" s="40" t="s">
        <v>533</v>
      </c>
      <c r="G201" s="110" t="s">
        <v>534</v>
      </c>
      <c r="H201" s="41">
        <v>686</v>
      </c>
      <c r="I201" s="41">
        <v>696</v>
      </c>
      <c r="J201" s="67">
        <f t="shared" si="58"/>
        <v>10</v>
      </c>
      <c r="K201" s="41">
        <v>706.7</v>
      </c>
      <c r="L201" s="67">
        <f t="shared" si="63"/>
        <v>10.700000000000045</v>
      </c>
      <c r="M201" s="41">
        <v>715.36</v>
      </c>
      <c r="N201" s="67">
        <f t="shared" si="64"/>
        <v>8.6599999999999682</v>
      </c>
      <c r="O201" s="41">
        <v>736.71</v>
      </c>
      <c r="P201" s="67">
        <f t="shared" si="65"/>
        <v>21.350000000000023</v>
      </c>
      <c r="Q201" s="41">
        <v>754.22</v>
      </c>
      <c r="R201" s="67">
        <f t="shared" si="66"/>
        <v>17.509999999999991</v>
      </c>
      <c r="S201" s="41"/>
      <c r="T201" s="67">
        <f t="shared" si="67"/>
        <v>0</v>
      </c>
      <c r="U201" s="41"/>
      <c r="V201" s="67">
        <f t="shared" si="68"/>
        <v>0</v>
      </c>
      <c r="W201" s="41"/>
      <c r="X201" s="67">
        <f t="shared" si="69"/>
        <v>0</v>
      </c>
      <c r="Y201" s="41"/>
      <c r="Z201" s="67">
        <f t="shared" si="70"/>
        <v>0</v>
      </c>
      <c r="AA201" s="41"/>
      <c r="AB201" s="67">
        <f t="shared" si="71"/>
        <v>0</v>
      </c>
      <c r="AC201" s="41"/>
      <c r="AD201" s="67">
        <f t="shared" si="72"/>
        <v>0</v>
      </c>
      <c r="AE201" s="41"/>
      <c r="AF201" s="108">
        <f t="shared" si="73"/>
        <v>0</v>
      </c>
      <c r="AG201" s="127">
        <f t="shared" si="74"/>
        <v>68.220000000000027</v>
      </c>
    </row>
    <row r="202" spans="1:33" s="47" customFormat="1" ht="12.75" customHeight="1" x14ac:dyDescent="0.25">
      <c r="A202" s="330" t="s">
        <v>288</v>
      </c>
      <c r="B202" s="334"/>
      <c r="C202" s="134" t="s">
        <v>32</v>
      </c>
      <c r="D202" s="134" t="s">
        <v>241</v>
      </c>
      <c r="E202" s="178" t="s">
        <v>348</v>
      </c>
      <c r="F202" s="179" t="s">
        <v>455</v>
      </c>
      <c r="G202" s="180" t="s">
        <v>458</v>
      </c>
      <c r="H202" s="68">
        <v>4671</v>
      </c>
      <c r="I202" s="68">
        <v>4943</v>
      </c>
      <c r="J202" s="123">
        <f t="shared" si="58"/>
        <v>272</v>
      </c>
      <c r="K202" s="68">
        <v>5216</v>
      </c>
      <c r="L202" s="123">
        <f t="shared" si="63"/>
        <v>273</v>
      </c>
      <c r="M202" s="68">
        <v>5416</v>
      </c>
      <c r="N202" s="123">
        <f t="shared" si="64"/>
        <v>200</v>
      </c>
      <c r="O202" s="68">
        <v>5513</v>
      </c>
      <c r="P202" s="123">
        <f t="shared" si="65"/>
        <v>97</v>
      </c>
      <c r="Q202" s="68">
        <v>5551</v>
      </c>
      <c r="R202" s="123">
        <f t="shared" si="66"/>
        <v>38</v>
      </c>
      <c r="S202" s="68"/>
      <c r="T202" s="123">
        <f t="shared" si="67"/>
        <v>0</v>
      </c>
      <c r="U202" s="68"/>
      <c r="V202" s="123">
        <f t="shared" si="68"/>
        <v>0</v>
      </c>
      <c r="W202" s="68"/>
      <c r="X202" s="123">
        <f t="shared" si="69"/>
        <v>0</v>
      </c>
      <c r="Y202" s="68"/>
      <c r="Z202" s="123">
        <f t="shared" si="70"/>
        <v>0</v>
      </c>
      <c r="AA202" s="68"/>
      <c r="AB202" s="123">
        <f t="shared" si="71"/>
        <v>0</v>
      </c>
      <c r="AC202" s="68"/>
      <c r="AD202" s="123">
        <f t="shared" si="72"/>
        <v>0</v>
      </c>
      <c r="AE202" s="68"/>
      <c r="AF202" s="181">
        <f t="shared" si="73"/>
        <v>0</v>
      </c>
      <c r="AG202" s="182">
        <f t="shared" si="74"/>
        <v>880</v>
      </c>
    </row>
    <row r="203" spans="1:33" s="47" customFormat="1" ht="12.75" customHeight="1" x14ac:dyDescent="0.25">
      <c r="A203" s="331"/>
      <c r="B203" s="334"/>
      <c r="C203" s="132" t="s">
        <v>32</v>
      </c>
      <c r="D203" s="132" t="s">
        <v>241</v>
      </c>
      <c r="E203" s="178" t="s">
        <v>363</v>
      </c>
      <c r="F203" s="179" t="s">
        <v>455</v>
      </c>
      <c r="G203" s="180" t="s">
        <v>458</v>
      </c>
      <c r="H203" s="183">
        <v>21493</v>
      </c>
      <c r="I203" s="129">
        <v>22600</v>
      </c>
      <c r="J203" s="129">
        <f t="shared" si="58"/>
        <v>1107</v>
      </c>
      <c r="K203" s="129">
        <v>23786</v>
      </c>
      <c r="L203" s="129">
        <f t="shared" si="63"/>
        <v>1186</v>
      </c>
      <c r="M203" s="129">
        <v>24580</v>
      </c>
      <c r="N203" s="129">
        <f t="shared" si="64"/>
        <v>794</v>
      </c>
      <c r="O203" s="129">
        <v>24905</v>
      </c>
      <c r="P203" s="129">
        <f t="shared" si="65"/>
        <v>325</v>
      </c>
      <c r="Q203" s="129">
        <v>25045</v>
      </c>
      <c r="R203" s="129">
        <f t="shared" si="66"/>
        <v>140</v>
      </c>
      <c r="S203" s="129"/>
      <c r="T203" s="129">
        <f t="shared" si="67"/>
        <v>0</v>
      </c>
      <c r="U203" s="129"/>
      <c r="V203" s="129">
        <f t="shared" si="68"/>
        <v>0</v>
      </c>
      <c r="W203" s="129"/>
      <c r="X203" s="129">
        <f t="shared" si="69"/>
        <v>0</v>
      </c>
      <c r="Y203" s="129"/>
      <c r="Z203" s="129">
        <f t="shared" si="70"/>
        <v>0</v>
      </c>
      <c r="AA203" s="129"/>
      <c r="AB203" s="129">
        <f t="shared" si="71"/>
        <v>0</v>
      </c>
      <c r="AC203" s="129"/>
      <c r="AD203" s="129">
        <f t="shared" si="72"/>
        <v>0</v>
      </c>
      <c r="AE203" s="129"/>
      <c r="AF203" s="184">
        <f t="shared" si="73"/>
        <v>0</v>
      </c>
      <c r="AG203" s="182">
        <f t="shared" si="74"/>
        <v>3552</v>
      </c>
    </row>
    <row r="204" spans="1:33" ht="12.75" customHeight="1" thickBot="1" x14ac:dyDescent="0.3">
      <c r="A204" s="332"/>
      <c r="B204" s="346"/>
      <c r="C204" s="133" t="s">
        <v>32</v>
      </c>
      <c r="D204" s="64" t="s">
        <v>241</v>
      </c>
      <c r="E204" s="65" t="s">
        <v>337</v>
      </c>
      <c r="F204" s="66" t="s">
        <v>663</v>
      </c>
      <c r="G204" s="223"/>
      <c r="H204" s="107"/>
      <c r="I204" s="224"/>
      <c r="J204" s="69">
        <f t="shared" si="58"/>
        <v>0</v>
      </c>
      <c r="K204" s="69"/>
      <c r="L204" s="69">
        <f t="shared" si="63"/>
        <v>0</v>
      </c>
      <c r="M204" s="69">
        <v>29.768000000000001</v>
      </c>
      <c r="N204" s="69">
        <f t="shared" si="64"/>
        <v>29.768000000000001</v>
      </c>
      <c r="O204" s="69">
        <v>36.439</v>
      </c>
      <c r="P204" s="69">
        <f t="shared" si="65"/>
        <v>6.6709999999999994</v>
      </c>
      <c r="Q204" s="69">
        <v>45.679000000000002</v>
      </c>
      <c r="R204" s="69">
        <f t="shared" si="66"/>
        <v>9.240000000000002</v>
      </c>
      <c r="S204" s="69"/>
      <c r="T204" s="69">
        <f t="shared" si="67"/>
        <v>0</v>
      </c>
      <c r="U204" s="69"/>
      <c r="V204" s="69">
        <f t="shared" si="68"/>
        <v>0</v>
      </c>
      <c r="W204" s="69"/>
      <c r="X204" s="69">
        <f t="shared" si="69"/>
        <v>0</v>
      </c>
      <c r="Y204" s="69"/>
      <c r="Z204" s="69">
        <f t="shared" si="70"/>
        <v>0</v>
      </c>
      <c r="AA204" s="69"/>
      <c r="AB204" s="69">
        <f t="shared" si="71"/>
        <v>0</v>
      </c>
      <c r="AC204" s="69"/>
      <c r="AD204" s="69">
        <f t="shared" si="72"/>
        <v>0</v>
      </c>
      <c r="AE204" s="69"/>
      <c r="AF204" s="107">
        <f t="shared" si="73"/>
        <v>0</v>
      </c>
      <c r="AG204" s="106">
        <f t="shared" si="74"/>
        <v>45.679000000000002</v>
      </c>
    </row>
    <row r="205" spans="1:33" x14ac:dyDescent="0.25">
      <c r="A205" s="43"/>
      <c r="B205" s="44"/>
      <c r="C205" s="43"/>
    </row>
  </sheetData>
  <autoFilter ref="A2:AG204" xr:uid="{F42A1960-B5C3-4C17-8BDE-BB44462D3114}"/>
  <mergeCells count="78">
    <mergeCell ref="A151:A152"/>
    <mergeCell ref="A149:A150"/>
    <mergeCell ref="A132:A135"/>
    <mergeCell ref="B128:B131"/>
    <mergeCell ref="A9:A12"/>
    <mergeCell ref="A13:A15"/>
    <mergeCell ref="A16:A19"/>
    <mergeCell ref="A20:A23"/>
    <mergeCell ref="A32:A36"/>
    <mergeCell ref="A88:A94"/>
    <mergeCell ref="A95:A98"/>
    <mergeCell ref="A99:A103"/>
    <mergeCell ref="A24:A27"/>
    <mergeCell ref="A38:A40"/>
    <mergeCell ref="F1:F2"/>
    <mergeCell ref="A80:A83"/>
    <mergeCell ref="A194:A197"/>
    <mergeCell ref="A174:A179"/>
    <mergeCell ref="A168:A169"/>
    <mergeCell ref="A183:A185"/>
    <mergeCell ref="B95:B98"/>
    <mergeCell ref="B99:B103"/>
    <mergeCell ref="A112:A118"/>
    <mergeCell ref="A42:A70"/>
    <mergeCell ref="C42:C70"/>
    <mergeCell ref="A1:A2"/>
    <mergeCell ref="B1:B2"/>
    <mergeCell ref="C1:C2"/>
    <mergeCell ref="B3:B70"/>
    <mergeCell ref="A3:A8"/>
    <mergeCell ref="G1:G2"/>
    <mergeCell ref="A180:A182"/>
    <mergeCell ref="A156:A158"/>
    <mergeCell ref="B104:B107"/>
    <mergeCell ref="A136:A138"/>
    <mergeCell ref="A119:A124"/>
    <mergeCell ref="A128:A131"/>
    <mergeCell ref="A104:A107"/>
    <mergeCell ref="A125:A127"/>
    <mergeCell ref="B119:B124"/>
    <mergeCell ref="A28:A31"/>
    <mergeCell ref="A108:A111"/>
    <mergeCell ref="A71:A79"/>
    <mergeCell ref="B71:B83"/>
    <mergeCell ref="B108:B118"/>
    <mergeCell ref="B88:B94"/>
    <mergeCell ref="A202:A204"/>
    <mergeCell ref="A153:A155"/>
    <mergeCell ref="B84:B87"/>
    <mergeCell ref="A84:A87"/>
    <mergeCell ref="A198:A201"/>
    <mergeCell ref="A141:A144"/>
    <mergeCell ref="A145:A147"/>
    <mergeCell ref="A139:A140"/>
    <mergeCell ref="A186:A193"/>
    <mergeCell ref="A170:A173"/>
    <mergeCell ref="B139:B147"/>
    <mergeCell ref="B148:B152"/>
    <mergeCell ref="B132:B138"/>
    <mergeCell ref="B153:B204"/>
    <mergeCell ref="B125:B127"/>
    <mergeCell ref="A159:A167"/>
    <mergeCell ref="H1:H2"/>
    <mergeCell ref="I1:J1"/>
    <mergeCell ref="E1:E2"/>
    <mergeCell ref="D1:D2"/>
    <mergeCell ref="AG1:AG2"/>
    <mergeCell ref="AE1:AF1"/>
    <mergeCell ref="M1:N1"/>
    <mergeCell ref="O1:P1"/>
    <mergeCell ref="Q1:R1"/>
    <mergeCell ref="S1:T1"/>
    <mergeCell ref="U1:V1"/>
    <mergeCell ref="W1:X1"/>
    <mergeCell ref="Y1:Z1"/>
    <mergeCell ref="AA1:AB1"/>
    <mergeCell ref="AC1:AD1"/>
    <mergeCell ref="K1:L1"/>
  </mergeCells>
  <pageMargins left="0.7" right="0.7" top="0.78740157499999996" bottom="0.78740157499999996" header="0.3" footer="0.3"/>
  <pageSetup paperSize="9" scale="28" orientation="portrait" r:id="rId1"/>
  <ignoredErrors>
    <ignoredError sqref="F95:G95 G34:G36 F136 H136 F158:G158 F15:G15 G106:G107 G96 F104:G105 G98:G100 F99:F101 G102:G103 G115:G117 F118:G118 F86:G86 G94 G87:G92 F139:F142 F144:G145 G199:G200 G153:G155 F186:F187 G186:H186 F156:G156 F26 F131:G133 F155 F162:G162 F167 F160 F199 F114 F9:F10 F12:F13 F16 G16:G19 F18:F20 F3:G8 F42:G63 G9:G14 F108:G113 F38:G40 F121:G129 G130 G135:G136 G138:G142 F153 G157 F87:F94 F97 F117 G184:G185 F196:G198 G187:G190 F191:G192 F201:G203 F178:G178 G193:G195 F22:G24 F82:F84 G82:G85 G179:G180 G159 G182 F28:G33 F149:F150 G27 F75:G81 G169:G172 G174:G177 G148:G151 G161 G163 F164 G165 F64:G70 F21 G20:G21 G72:G74" numberStoredAsText="1"/>
    <ignoredError sqref="AG20 J177 J103 J191 J34 L200 AG30:AG31 P186 P64 P119 R16" 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AB33A3B984F4C884299C17B829935" ma:contentTypeVersion="18" ma:contentTypeDescription="Vytvoří nový dokument" ma:contentTypeScope="" ma:versionID="e05ab82bd7c0aba2b51ccd288f834671">
  <xsd:schema xmlns:xsd="http://www.w3.org/2001/XMLSchema" xmlns:xs="http://www.w3.org/2001/XMLSchema" xmlns:p="http://schemas.microsoft.com/office/2006/metadata/properties" xmlns:ns2="ee10de53-0704-4e33-bb6d-d76cd3177e48" xmlns:ns3="1c076fad-9b81-45cb-aa58-44183540e904" targetNamespace="http://schemas.microsoft.com/office/2006/metadata/properties" ma:root="true" ma:fieldsID="128f3ed37761bc226c91f68da4331f19" ns2:_="" ns3:_="">
    <xsd:import namespace="ee10de53-0704-4e33-bb6d-d76cd3177e48"/>
    <xsd:import namespace="1c076fad-9b81-45cb-aa58-44183540e9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10de53-0704-4e33-bb6d-d76cd3177e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7695593-6d60-47a8-b75e-a209b9950f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76fad-9b81-45cb-aa58-44183540e90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331f166-71d6-4ee8-b6fd-8f0331e8dc7a}" ma:internalName="TaxCatchAll" ma:showField="CatchAllData" ma:web="1c076fad-9b81-45cb-aa58-44183540e9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10de53-0704-4e33-bb6d-d76cd3177e48">
      <Terms xmlns="http://schemas.microsoft.com/office/infopath/2007/PartnerControls"/>
    </lcf76f155ced4ddcb4097134ff3c332f>
    <TaxCatchAll xmlns="1c076fad-9b81-45cb-aa58-44183540e90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C1262C-30EC-49BE-B6C1-1F8220A3AC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10de53-0704-4e33-bb6d-d76cd3177e48"/>
    <ds:schemaRef ds:uri="1c076fad-9b81-45cb-aa58-44183540e9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5895D6-3452-4A67-BD9C-F6E848F98DC3}">
  <ds:schemaRefs>
    <ds:schemaRef ds:uri="http://purl.org/dc/elements/1.1/"/>
    <ds:schemaRef ds:uri="http://schemas.microsoft.com/office/2006/metadata/properties"/>
    <ds:schemaRef ds:uri="1c076fad-9b81-45cb-aa58-44183540e90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e10de53-0704-4e33-bb6d-d76cd3177e4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8765374-FC77-4640-AF29-5EC427A907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Beránek</dc:creator>
  <cp:lastModifiedBy>Bc. Beránek Jan</cp:lastModifiedBy>
  <cp:lastPrinted>2025-05-02T06:25:07Z</cp:lastPrinted>
  <dcterms:created xsi:type="dcterms:W3CDTF">2023-07-24T08:40:52Z</dcterms:created>
  <dcterms:modified xsi:type="dcterms:W3CDTF">2025-06-26T12:52:18Z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0x010100825AB33A3B984F4C884299C17B829935</vt:lpwstr>
  </property>
</Properties>
</file>